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phen/Desktop/Defensive Architecture/FOIs - Responses/2023/Transit Police/"/>
    </mc:Choice>
  </mc:AlternateContent>
  <xr:revisionPtr revIDLastSave="0" documentId="13_ncr:1_{7FF2320E-1AD8-DA40-8DA6-ECE95DBD123A}" xr6:coauthVersionLast="47" xr6:coauthVersionMax="47" xr10:uidLastSave="{00000000-0000-0000-0000-000000000000}"/>
  <bookViews>
    <workbookView xWindow="320" yWindow="500" windowWidth="28480" windowHeight="17500" xr2:uid="{00000000-000D-0000-FFFF-FFFF00000000}"/>
  </bookViews>
  <sheets>
    <sheet name="Summary" sheetId="2" r:id="rId1"/>
    <sheet name="Complete Data Set" sheetId="1" r:id="rId2"/>
    <sheet name="Censu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0" i="2" l="1"/>
  <c r="M42" i="2"/>
  <c r="L42" i="2"/>
  <c r="C42" i="2"/>
  <c r="M6" i="4"/>
  <c r="M25" i="4"/>
  <c r="L27" i="4"/>
  <c r="R56" i="1"/>
  <c r="R59" i="1"/>
  <c r="R60" i="1"/>
  <c r="R52" i="1"/>
  <c r="R48" i="1"/>
  <c r="R49" i="1"/>
  <c r="R46" i="1"/>
  <c r="R43" i="1"/>
  <c r="R8" i="1"/>
  <c r="R22" i="1"/>
  <c r="R23" i="1"/>
  <c r="R24" i="1"/>
  <c r="R6" i="1"/>
  <c r="Q53" i="1"/>
  <c r="R53" i="1" s="1"/>
  <c r="Q54" i="1"/>
  <c r="R54" i="1" s="1"/>
  <c r="Q55" i="1"/>
  <c r="R55" i="1" s="1"/>
  <c r="Q56" i="1"/>
  <c r="Q57" i="1"/>
  <c r="R57" i="1" s="1"/>
  <c r="Q58" i="1"/>
  <c r="R58" i="1" s="1"/>
  <c r="Q59" i="1"/>
  <c r="Q60" i="1"/>
  <c r="Q52" i="1"/>
  <c r="Q47" i="1"/>
  <c r="Q50" i="1" s="1"/>
  <c r="Q48" i="1"/>
  <c r="Q49" i="1"/>
  <c r="Q46" i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Q27" i="1"/>
  <c r="R27" i="1" s="1"/>
  <c r="Q7" i="1"/>
  <c r="R7" i="1" s="1"/>
  <c r="Q8" i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Q23" i="1"/>
  <c r="Q24" i="1"/>
  <c r="Q6" i="1"/>
  <c r="Q3" i="1"/>
  <c r="Q61" i="1" l="1"/>
  <c r="R47" i="1"/>
  <c r="Q44" i="1"/>
  <c r="Q25" i="1"/>
  <c r="S20" i="4" l="1"/>
  <c r="Q24" i="4"/>
  <c r="Q20" i="4"/>
  <c r="M20" i="4"/>
  <c r="M21" i="4"/>
  <c r="M22" i="4"/>
  <c r="M23" i="4"/>
  <c r="M24" i="4"/>
  <c r="M26" i="4"/>
  <c r="M19" i="4"/>
  <c r="S13" i="4"/>
  <c r="S12" i="4"/>
  <c r="S11" i="4"/>
  <c r="S10" i="4"/>
  <c r="S9" i="4"/>
  <c r="S8" i="4"/>
  <c r="S7" i="4"/>
  <c r="S6" i="4"/>
  <c r="Q13" i="4"/>
  <c r="Q12" i="4"/>
  <c r="Q11" i="4"/>
  <c r="Q10" i="4"/>
  <c r="Q9" i="4"/>
  <c r="Q8" i="4"/>
  <c r="Q7" i="4"/>
  <c r="Q6" i="4"/>
  <c r="M7" i="4"/>
  <c r="M8" i="4"/>
  <c r="M9" i="4"/>
  <c r="M10" i="4"/>
  <c r="M11" i="4"/>
  <c r="M12" i="4"/>
  <c r="M13" i="4"/>
  <c r="R27" i="4"/>
  <c r="S26" i="4" s="1"/>
  <c r="P27" i="4"/>
  <c r="Q26" i="4" s="1"/>
  <c r="R14" i="4"/>
  <c r="P14" i="4"/>
  <c r="L14" i="4"/>
  <c r="S24" i="4" l="1"/>
  <c r="Q19" i="4"/>
  <c r="Q23" i="4"/>
  <c r="S19" i="4"/>
  <c r="S23" i="4"/>
  <c r="Q21" i="4"/>
  <c r="Q25" i="4"/>
  <c r="S21" i="4"/>
  <c r="S25" i="4"/>
  <c r="Q22" i="4"/>
  <c r="S22" i="4"/>
  <c r="L43" i="2"/>
  <c r="O43" i="2" s="1"/>
  <c r="L44" i="2"/>
  <c r="L45" i="2"/>
  <c r="L46" i="2"/>
  <c r="O46" i="2" s="1"/>
  <c r="L47" i="2"/>
  <c r="O47" i="2" s="1"/>
  <c r="L48" i="2"/>
  <c r="O48" i="2" s="1"/>
  <c r="L49" i="2"/>
  <c r="O42" i="2"/>
  <c r="L30" i="2"/>
  <c r="O30" i="2" s="1"/>
  <c r="L31" i="2"/>
  <c r="L32" i="2"/>
  <c r="L33" i="2"/>
  <c r="O33" i="2" s="1"/>
  <c r="L34" i="2"/>
  <c r="O34" i="2" s="1"/>
  <c r="L35" i="2"/>
  <c r="O35" i="2" s="1"/>
  <c r="L36" i="2"/>
  <c r="O36" i="2" s="1"/>
  <c r="L29" i="2"/>
  <c r="O29" i="2" s="1"/>
  <c r="H17" i="2"/>
  <c r="K17" i="2" s="1"/>
  <c r="H18" i="2"/>
  <c r="H19" i="2"/>
  <c r="K19" i="2" s="1"/>
  <c r="H20" i="2"/>
  <c r="K20" i="2" s="1"/>
  <c r="H21" i="2"/>
  <c r="K21" i="2" s="1"/>
  <c r="H22" i="2"/>
  <c r="K22" i="2" s="1"/>
  <c r="H23" i="2"/>
  <c r="K23" i="2" s="1"/>
  <c r="H16" i="2"/>
  <c r="K16" i="2" s="1"/>
  <c r="J50" i="2"/>
  <c r="H50" i="2"/>
  <c r="F50" i="2"/>
  <c r="D50" i="2"/>
  <c r="B50" i="2"/>
  <c r="J37" i="2"/>
  <c r="H37" i="2"/>
  <c r="F37" i="2"/>
  <c r="D37" i="2"/>
  <c r="B37" i="2"/>
  <c r="F24" i="2"/>
  <c r="D24" i="2"/>
  <c r="B24" i="2"/>
  <c r="AF3" i="2"/>
  <c r="AF9" i="2"/>
  <c r="AF8" i="2"/>
  <c r="AF7" i="2"/>
  <c r="AF6" i="2"/>
  <c r="AF5" i="2"/>
  <c r="AF4" i="2"/>
  <c r="D11" i="2"/>
  <c r="F11" i="2"/>
  <c r="G10" i="2" s="1"/>
  <c r="H11" i="2"/>
  <c r="I9" i="2" s="1"/>
  <c r="J11" i="2"/>
  <c r="E33" i="2" s="1"/>
  <c r="L11" i="2"/>
  <c r="N11" i="2"/>
  <c r="O10" i="2" s="1"/>
  <c r="P11" i="2"/>
  <c r="Q9" i="2" s="1"/>
  <c r="R11" i="2"/>
  <c r="T11" i="2"/>
  <c r="V11" i="2"/>
  <c r="W10" i="2" s="1"/>
  <c r="X11" i="2"/>
  <c r="Y9" i="2" s="1"/>
  <c r="Z11" i="2"/>
  <c r="AB11" i="2"/>
  <c r="AD11" i="2"/>
  <c r="AE9" i="2" s="1"/>
  <c r="B11" i="2"/>
  <c r="C7" i="2" s="1"/>
  <c r="O32" i="2" l="1"/>
  <c r="O49" i="2"/>
  <c r="O45" i="2"/>
  <c r="K18" i="2"/>
  <c r="O31" i="2"/>
  <c r="O44" i="2"/>
  <c r="L37" i="2"/>
  <c r="M36" i="2" s="1"/>
  <c r="H24" i="2"/>
  <c r="I18" i="2" s="1"/>
  <c r="C30" i="2"/>
  <c r="K32" i="2"/>
  <c r="I43" i="2"/>
  <c r="G42" i="2"/>
  <c r="G46" i="2"/>
  <c r="I47" i="2"/>
  <c r="I31" i="2"/>
  <c r="E19" i="2"/>
  <c r="E21" i="2"/>
  <c r="E16" i="2"/>
  <c r="E18" i="2"/>
  <c r="E20" i="2"/>
  <c r="E22" i="2"/>
  <c r="G30" i="2"/>
  <c r="C36" i="2"/>
  <c r="L50" i="2"/>
  <c r="E49" i="2"/>
  <c r="E17" i="2"/>
  <c r="E23" i="2"/>
  <c r="G32" i="2"/>
  <c r="E29" i="2"/>
  <c r="K30" i="2"/>
  <c r="C32" i="2"/>
  <c r="G34" i="2"/>
  <c r="I35" i="2"/>
  <c r="K36" i="2"/>
  <c r="E45" i="2"/>
  <c r="AA8" i="2"/>
  <c r="K49" i="2"/>
  <c r="K45" i="2"/>
  <c r="K44" i="2"/>
  <c r="K46" i="2"/>
  <c r="K42" i="2"/>
  <c r="K47" i="2"/>
  <c r="K43" i="2"/>
  <c r="K48" i="2"/>
  <c r="S8" i="2"/>
  <c r="C49" i="2"/>
  <c r="C45" i="2"/>
  <c r="C48" i="2"/>
  <c r="C46" i="2"/>
  <c r="C44" i="2"/>
  <c r="C47" i="2"/>
  <c r="C43" i="2"/>
  <c r="K8" i="2"/>
  <c r="E34" i="2"/>
  <c r="E30" i="2"/>
  <c r="E31" i="2"/>
  <c r="E35" i="2"/>
  <c r="E36" i="2"/>
  <c r="E32" i="2"/>
  <c r="C16" i="2"/>
  <c r="C17" i="2"/>
  <c r="C18" i="2"/>
  <c r="C19" i="2"/>
  <c r="C20" i="2"/>
  <c r="C21" i="2"/>
  <c r="C22" i="2"/>
  <c r="C23" i="2"/>
  <c r="G29" i="2"/>
  <c r="I30" i="2"/>
  <c r="C31" i="2"/>
  <c r="K31" i="2"/>
  <c r="G33" i="2"/>
  <c r="I34" i="2"/>
  <c r="C35" i="2"/>
  <c r="K35" i="2"/>
  <c r="I42" i="2"/>
  <c r="E44" i="2"/>
  <c r="G45" i="2"/>
  <c r="I46" i="2"/>
  <c r="E48" i="2"/>
  <c r="G49" i="2"/>
  <c r="I29" i="2"/>
  <c r="I33" i="2"/>
  <c r="C34" i="2"/>
  <c r="K34" i="2"/>
  <c r="G36" i="2"/>
  <c r="E43" i="2"/>
  <c r="G44" i="2"/>
  <c r="I45" i="2"/>
  <c r="E47" i="2"/>
  <c r="G48" i="2"/>
  <c r="I49" i="2"/>
  <c r="G16" i="2"/>
  <c r="G17" i="2"/>
  <c r="G18" i="2"/>
  <c r="G19" i="2"/>
  <c r="G20" i="2"/>
  <c r="G21" i="2"/>
  <c r="G22" i="2"/>
  <c r="G23" i="2"/>
  <c r="C29" i="2"/>
  <c r="K29" i="2"/>
  <c r="G31" i="2"/>
  <c r="I32" i="2"/>
  <c r="C33" i="2"/>
  <c r="K33" i="2"/>
  <c r="G35" i="2"/>
  <c r="I36" i="2"/>
  <c r="E42" i="2"/>
  <c r="G43" i="2"/>
  <c r="I44" i="2"/>
  <c r="E46" i="2"/>
  <c r="G47" i="2"/>
  <c r="I48" i="2"/>
  <c r="C6" i="2"/>
  <c r="I3" i="2"/>
  <c r="K10" i="2"/>
  <c r="Q6" i="2"/>
  <c r="S5" i="2"/>
  <c r="Y3" i="2"/>
  <c r="AA10" i="2"/>
  <c r="AE6" i="2"/>
  <c r="AE10" i="2"/>
  <c r="C5" i="2"/>
  <c r="I6" i="2"/>
  <c r="K5" i="2"/>
  <c r="M4" i="2"/>
  <c r="Q7" i="2"/>
  <c r="S6" i="2"/>
  <c r="Y6" i="2"/>
  <c r="AA5" i="2"/>
  <c r="AE3" i="2"/>
  <c r="AE7" i="2"/>
  <c r="C10" i="2"/>
  <c r="E4" i="2"/>
  <c r="I7" i="2"/>
  <c r="K6" i="2"/>
  <c r="M8" i="2"/>
  <c r="Q10" i="2"/>
  <c r="S9" i="2"/>
  <c r="Y7" i="2"/>
  <c r="AA6" i="2"/>
  <c r="AE4" i="2"/>
  <c r="AE8" i="2"/>
  <c r="C9" i="2"/>
  <c r="E8" i="2"/>
  <c r="I10" i="2"/>
  <c r="K9" i="2"/>
  <c r="Q3" i="2"/>
  <c r="S10" i="2"/>
  <c r="Y10" i="2"/>
  <c r="AA9" i="2"/>
  <c r="AE5" i="2"/>
  <c r="U4" i="2"/>
  <c r="U8" i="2"/>
  <c r="W3" i="2"/>
  <c r="W7" i="2"/>
  <c r="G7" i="2"/>
  <c r="E9" i="2"/>
  <c r="O4" i="2"/>
  <c r="U9" i="2"/>
  <c r="G3" i="2"/>
  <c r="O7" i="2"/>
  <c r="G8" i="2"/>
  <c r="M5" i="2"/>
  <c r="O8" i="2"/>
  <c r="U5" i="2"/>
  <c r="W4" i="2"/>
  <c r="C3" i="2"/>
  <c r="C8" i="2"/>
  <c r="C4" i="2"/>
  <c r="E6" i="2"/>
  <c r="E10" i="2"/>
  <c r="G5" i="2"/>
  <c r="G9" i="2"/>
  <c r="I4" i="2"/>
  <c r="I8" i="2"/>
  <c r="K3" i="2"/>
  <c r="K7" i="2"/>
  <c r="M6" i="2"/>
  <c r="M10" i="2"/>
  <c r="O5" i="2"/>
  <c r="O9" i="2"/>
  <c r="Q4" i="2"/>
  <c r="Q8" i="2"/>
  <c r="S3" i="2"/>
  <c r="S7" i="2"/>
  <c r="U6" i="2"/>
  <c r="U10" i="2"/>
  <c r="W5" i="2"/>
  <c r="W9" i="2"/>
  <c r="Y4" i="2"/>
  <c r="Y8" i="2"/>
  <c r="AA3" i="2"/>
  <c r="AA7" i="2"/>
  <c r="O3" i="2"/>
  <c r="E5" i="2"/>
  <c r="G4" i="2"/>
  <c r="M9" i="2"/>
  <c r="W8" i="2"/>
  <c r="E3" i="2"/>
  <c r="E7" i="2"/>
  <c r="G6" i="2"/>
  <c r="I5" i="2"/>
  <c r="K4" i="2"/>
  <c r="M3" i="2"/>
  <c r="M7" i="2"/>
  <c r="O6" i="2"/>
  <c r="Q5" i="2"/>
  <c r="S4" i="2"/>
  <c r="U3" i="2"/>
  <c r="U7" i="2"/>
  <c r="W6" i="2"/>
  <c r="Y5" i="2"/>
  <c r="AA4" i="2"/>
  <c r="I23" i="2" l="1"/>
  <c r="M33" i="2"/>
  <c r="M31" i="2"/>
  <c r="M34" i="2"/>
  <c r="M44" i="2"/>
  <c r="M35" i="2"/>
  <c r="M29" i="2"/>
  <c r="M32" i="2"/>
  <c r="I19" i="2"/>
  <c r="M30" i="2"/>
  <c r="M45" i="2"/>
  <c r="I22" i="2"/>
  <c r="I17" i="2"/>
  <c r="M46" i="2"/>
  <c r="M43" i="2"/>
  <c r="M49" i="2"/>
  <c r="I20" i="2"/>
  <c r="M47" i="2"/>
  <c r="I16" i="2"/>
  <c r="I21" i="2"/>
  <c r="M48" i="2"/>
  <c r="AF11" i="2"/>
  <c r="AG9" i="2" l="1"/>
  <c r="AG4" i="2"/>
  <c r="AG8" i="2"/>
  <c r="AG7" i="2"/>
  <c r="AG5" i="2"/>
  <c r="AG10" i="2"/>
  <c r="AG3" i="2"/>
  <c r="AG6" i="2"/>
</calcChain>
</file>

<file path=xl/sharedStrings.xml><?xml version="1.0" encoding="utf-8"?>
<sst xmlns="http://schemas.openxmlformats.org/spreadsheetml/2006/main" count="292" uniqueCount="78">
  <si>
    <t>Assist Person Referral To Support Services</t>
  </si>
  <si>
    <t>Break And Enter Suspect</t>
  </si>
  <si>
    <t>Check Wellbeing</t>
  </si>
  <si>
    <t>Concern For Immediate Safety</t>
  </si>
  <si>
    <t>Gang Affiliation</t>
  </si>
  <si>
    <t>Hitchhiker</t>
  </si>
  <si>
    <t>Liquor Act</t>
  </si>
  <si>
    <t>Other</t>
  </si>
  <si>
    <t>Other Public Safety Purpose</t>
  </si>
  <si>
    <t>Out Of Province Warrant</t>
  </si>
  <si>
    <t>Problem Oriented Policing</t>
  </si>
  <si>
    <t>Prostitution</t>
  </si>
  <si>
    <t>Suspected Criminal</t>
  </si>
  <si>
    <t>Suspected Drug Dealer</t>
  </si>
  <si>
    <t>Suspected Impaired</t>
  </si>
  <si>
    <t>Suspected Sexual Offender</t>
  </si>
  <si>
    <t>Suspicious Activity</t>
  </si>
  <si>
    <t>Theft From Auto Suspect</t>
  </si>
  <si>
    <t>Vehicle Act</t>
  </si>
  <si>
    <t>Burnaby</t>
  </si>
  <si>
    <t>Chilliwack</t>
  </si>
  <si>
    <t>Coquitlam</t>
  </si>
  <si>
    <t>Delta</t>
  </si>
  <si>
    <t>Langley</t>
  </si>
  <si>
    <t>Maple Ridge</t>
  </si>
  <si>
    <t>Mission</t>
  </si>
  <si>
    <t>New Westminster</t>
  </si>
  <si>
    <t>North Vancouver</t>
  </si>
  <si>
    <t>Pitt Meadows</t>
  </si>
  <si>
    <t>Port Coquitlam</t>
  </si>
  <si>
    <t>Port Moody</t>
  </si>
  <si>
    <t>Richmond</t>
  </si>
  <si>
    <t>Surrey</t>
  </si>
  <si>
    <t>Vancouver</t>
  </si>
  <si>
    <t>West Vancouver</t>
  </si>
  <si>
    <t>Unknown</t>
  </si>
  <si>
    <t>Female</t>
  </si>
  <si>
    <t>Male</t>
  </si>
  <si>
    <t>Gender Diverse</t>
  </si>
  <si>
    <t>Indigenous</t>
  </si>
  <si>
    <t>Asian</t>
  </si>
  <si>
    <t>Black</t>
  </si>
  <si>
    <t>Hispanic</t>
  </si>
  <si>
    <t>Middle Eastern</t>
  </si>
  <si>
    <t>South Asian</t>
  </si>
  <si>
    <t>White</t>
  </si>
  <si>
    <t>Total</t>
  </si>
  <si>
    <t>% Total</t>
  </si>
  <si>
    <t>-</t>
  </si>
  <si>
    <t>#</t>
  </si>
  <si>
    <t>Total Street Checks</t>
  </si>
  <si>
    <t>2006 Pop %</t>
  </si>
  <si>
    <t>2016 Pop %</t>
  </si>
  <si>
    <t>2011 Pop %</t>
  </si>
  <si>
    <t>Likelihood vs. White Person</t>
  </si>
  <si>
    <t>2016 Census Data</t>
  </si>
  <si>
    <t>Metro Vancouver Ethnicity Total</t>
  </si>
  <si>
    <t>Metro Vancouver Sex Total</t>
  </si>
  <si>
    <t>Ethnicity</t>
  </si>
  <si>
    <t>% Pop</t>
  </si>
  <si>
    <t>2021 Census Data</t>
  </si>
  <si>
    <t>2011 Census Data</t>
  </si>
  <si>
    <t>2006 Census Data</t>
  </si>
  <si>
    <t>Census Population Totals for Metro Vancouver, and % Population</t>
  </si>
  <si>
    <t>*Calculations to convert census population data to fit B.C. municipal police department "ethnicity" categories are based on Vancouver Police Department's calculations in its 2018 "Understanding Street Checks" report.</t>
  </si>
  <si>
    <t>Total 2008-10</t>
  </si>
  <si>
    <t>Total 2011-15</t>
  </si>
  <si>
    <t>Total 2016-20</t>
  </si>
  <si>
    <t>Total 2008-22</t>
  </si>
  <si>
    <r>
      <rPr>
        <b/>
        <sz val="11"/>
        <color theme="1"/>
        <rFont val="Calibri"/>
        <family val="2"/>
      </rPr>
      <t>Ethnicity</t>
    </r>
  </si>
  <si>
    <t>Metro Vancouver Transit Police Street Checks by Individual</t>
  </si>
  <si>
    <t>See "Census" worksheet for census figures</t>
  </si>
  <si>
    <t>Source for calculation method for "Likelihood vs. White Person": Miranda Nicols Berticevic Watters, prepared for Black Lives Matter Edmonton</t>
  </si>
  <si>
    <t>2021-22 are not included in a separate table above as only nine street checks were officially recorded.</t>
  </si>
  <si>
    <t>Total Individuals Checked</t>
  </si>
  <si>
    <t>Reason</t>
  </si>
  <si>
    <t>District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</si>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</sst>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u/>
      <sz val="10"/>
      <color theme="10"/>
      <name val="Times New Roman"/>
      <family val="1"/>
    </font>
    <font>
      <u/>
      <sz val="11"/>
      <color theme="1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vertical="top" shrinkToFit="1"/>
    </xf>
    <xf numFmtId="3" fontId="4" fillId="0" borderId="0" xfId="0" applyNumberFormat="1" applyFont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0" fontId="4" fillId="0" borderId="0" xfId="1" applyNumberFormat="1" applyFont="1" applyAlignment="1">
      <alignment horizontal="center" vertical="top"/>
    </xf>
    <xf numFmtId="1" fontId="5" fillId="2" borderId="3" xfId="0" applyNumberFormat="1" applyFont="1" applyFill="1" applyBorder="1" applyAlignment="1">
      <alignment horizontal="center" vertical="top" shrinkToFit="1"/>
    </xf>
    <xf numFmtId="1" fontId="5" fillId="2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Border="1" applyAlignment="1">
      <alignment horizontal="center" vertical="top" shrinkToFit="1"/>
    </xf>
    <xf numFmtId="10" fontId="4" fillId="0" borderId="3" xfId="1" applyNumberFormat="1" applyFont="1" applyBorder="1" applyAlignment="1">
      <alignment horizontal="center" vertical="top" shrinkToFit="1"/>
    </xf>
    <xf numFmtId="3" fontId="4" fillId="0" borderId="2" xfId="0" applyNumberFormat="1" applyFont="1" applyBorder="1" applyAlignment="1">
      <alignment horizontal="center" vertical="top" shrinkToFit="1"/>
    </xf>
    <xf numFmtId="0" fontId="0" fillId="0" borderId="7" xfId="0" applyBorder="1" applyAlignment="1">
      <alignment horizontal="left" vertical="top"/>
    </xf>
    <xf numFmtId="3" fontId="4" fillId="0" borderId="5" xfId="0" applyNumberFormat="1" applyFont="1" applyBorder="1" applyAlignment="1">
      <alignment horizontal="center" vertical="top" shrinkToFit="1"/>
    </xf>
    <xf numFmtId="3" fontId="4" fillId="0" borderId="7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/>
    </xf>
    <xf numFmtId="10" fontId="4" fillId="0" borderId="0" xfId="1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 indent="2"/>
    </xf>
    <xf numFmtId="3" fontId="4" fillId="0" borderId="0" xfId="0" applyNumberFormat="1" applyFont="1" applyAlignment="1">
      <alignment horizontal="center" vertical="top"/>
    </xf>
    <xf numFmtId="10" fontId="7" fillId="0" borderId="0" xfId="1" applyNumberFormat="1" applyFont="1" applyBorder="1" applyAlignment="1">
      <alignment horizontal="center" vertical="center"/>
    </xf>
    <xf numFmtId="10" fontId="7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10" fontId="9" fillId="0" borderId="0" xfId="0" applyNumberFormat="1" applyFont="1" applyAlignment="1">
      <alignment horizontal="center"/>
    </xf>
    <xf numFmtId="10" fontId="9" fillId="0" borderId="0" xfId="0" applyNumberFormat="1" applyFont="1"/>
    <xf numFmtId="2" fontId="7" fillId="0" borderId="8" xfId="3" applyNumberFormat="1" applyFont="1" applyBorder="1" applyAlignment="1">
      <alignment horizontal="center"/>
    </xf>
    <xf numFmtId="2" fontId="7" fillId="0" borderId="3" xfId="3" applyNumberFormat="1" applyFont="1" applyBorder="1" applyAlignment="1">
      <alignment horizontal="center"/>
    </xf>
    <xf numFmtId="2" fontId="7" fillId="0" borderId="9" xfId="3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 shrinkToFit="1"/>
    </xf>
    <xf numFmtId="10" fontId="4" fillId="0" borderId="8" xfId="1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left" vertical="top"/>
    </xf>
    <xf numFmtId="3" fontId="5" fillId="0" borderId="5" xfId="0" applyNumberFormat="1" applyFont="1" applyBorder="1" applyAlignment="1">
      <alignment horizontal="center" vertical="top" shrinkToFit="1"/>
    </xf>
    <xf numFmtId="3" fontId="5" fillId="0" borderId="7" xfId="0" applyNumberFormat="1" applyFont="1" applyBorder="1" applyAlignment="1">
      <alignment horizontal="center" vertical="top" shrinkToFit="1"/>
    </xf>
    <xf numFmtId="3" fontId="5" fillId="0" borderId="6" xfId="0" applyNumberFormat="1" applyFont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 shrinkToFit="1"/>
    </xf>
    <xf numFmtId="1" fontId="5" fillId="2" borderId="3" xfId="0" applyNumberFormat="1" applyFont="1" applyFill="1" applyBorder="1" applyAlignment="1">
      <alignment horizontal="center" shrinkToFit="1"/>
    </xf>
    <xf numFmtId="10" fontId="4" fillId="0" borderId="11" xfId="1" applyNumberFormat="1" applyFont="1" applyBorder="1" applyAlignment="1">
      <alignment horizontal="center" vertical="top" shrinkToFit="1"/>
    </xf>
    <xf numFmtId="10" fontId="4" fillId="0" borderId="0" xfId="1" applyNumberFormat="1" applyFont="1" applyBorder="1" applyAlignment="1">
      <alignment horizontal="center" vertical="top" shrinkToFit="1"/>
    </xf>
    <xf numFmtId="10" fontId="4" fillId="0" borderId="4" xfId="1" applyNumberFormat="1" applyFont="1" applyBorder="1" applyAlignment="1">
      <alignment horizontal="center" vertical="top" shrinkToFit="1"/>
    </xf>
    <xf numFmtId="10" fontId="7" fillId="0" borderId="11" xfId="1" applyNumberFormat="1" applyFont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shrinkToFit="1"/>
    </xf>
    <xf numFmtId="1" fontId="5" fillId="2" borderId="5" xfId="0" applyNumberFormat="1" applyFont="1" applyFill="1" applyBorder="1" applyAlignment="1">
      <alignment horizontal="center" vertical="top" shrinkToFit="1"/>
    </xf>
    <xf numFmtId="1" fontId="5" fillId="2" borderId="7" xfId="0" applyNumberFormat="1" applyFont="1" applyFill="1" applyBorder="1" applyAlignment="1">
      <alignment horizontal="center" vertical="top" shrinkToFit="1"/>
    </xf>
    <xf numFmtId="1" fontId="5" fillId="2" borderId="4" xfId="0" applyNumberFormat="1" applyFont="1" applyFill="1" applyBorder="1" applyAlignment="1">
      <alignment horizontal="center" wrapText="1" shrinkToFit="1"/>
    </xf>
    <xf numFmtId="1" fontId="5" fillId="2" borderId="9" xfId="0" applyNumberFormat="1" applyFont="1" applyFill="1" applyBorder="1" applyAlignment="1">
      <alignment horizontal="center" wrapText="1" shrinkToFit="1"/>
    </xf>
    <xf numFmtId="3" fontId="5" fillId="0" borderId="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 shrinkToFit="1"/>
    </xf>
    <xf numFmtId="3" fontId="4" fillId="0" borderId="11" xfId="0" applyNumberFormat="1" applyFont="1" applyBorder="1" applyAlignment="1">
      <alignment horizontal="center" vertical="top" shrinkToFit="1"/>
    </xf>
    <xf numFmtId="1" fontId="4" fillId="0" borderId="0" xfId="0" applyNumberFormat="1" applyFont="1" applyAlignment="1">
      <alignment horizontal="left" vertical="top"/>
    </xf>
    <xf numFmtId="1" fontId="4" fillId="0" borderId="3" xfId="0" applyNumberFormat="1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/>
    </xf>
    <xf numFmtId="1" fontId="4" fillId="0" borderId="8" xfId="0" applyNumberFormat="1" applyFont="1" applyBorder="1" applyAlignment="1">
      <alignment horizontal="center" vertical="top" shrinkToFit="1"/>
    </xf>
    <xf numFmtId="10" fontId="4" fillId="0" borderId="8" xfId="1" applyNumberFormat="1" applyFont="1" applyBorder="1" applyAlignment="1">
      <alignment horizontal="center" vertical="top"/>
    </xf>
    <xf numFmtId="10" fontId="4" fillId="0" borderId="3" xfId="1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 shrinkToFit="1"/>
    </xf>
    <xf numFmtId="1" fontId="4" fillId="0" borderId="4" xfId="0" applyNumberFormat="1" applyFont="1" applyBorder="1" applyAlignment="1">
      <alignment horizontal="center" vertical="top" shrinkToFit="1"/>
    </xf>
    <xf numFmtId="1" fontId="4" fillId="0" borderId="9" xfId="0" applyNumberFormat="1" applyFont="1" applyBorder="1" applyAlignment="1">
      <alignment horizontal="center" vertical="top" shrinkToFit="1"/>
    </xf>
    <xf numFmtId="10" fontId="4" fillId="0" borderId="9" xfId="1" applyNumberFormat="1" applyFont="1" applyBorder="1" applyAlignment="1">
      <alignment horizontal="center" vertical="top"/>
    </xf>
    <xf numFmtId="1" fontId="5" fillId="2" borderId="0" xfId="0" applyNumberFormat="1" applyFont="1" applyFill="1" applyAlignment="1">
      <alignment horizontal="center" vertical="top" shrinkToFit="1"/>
    </xf>
    <xf numFmtId="1" fontId="4" fillId="0" borderId="5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 shrinkToFit="1"/>
    </xf>
    <xf numFmtId="1" fontId="4" fillId="0" borderId="6" xfId="0" applyNumberFormat="1" applyFont="1" applyBorder="1" applyAlignment="1">
      <alignment horizontal="center" vertical="top" shrinkToFit="1"/>
    </xf>
    <xf numFmtId="1" fontId="4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/>
    </xf>
    <xf numFmtId="10" fontId="4" fillId="0" borderId="7" xfId="1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shrinkToFit="1"/>
    </xf>
    <xf numFmtId="1" fontId="4" fillId="0" borderId="11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0" fontId="4" fillId="0" borderId="8" xfId="1" applyNumberFormat="1" applyFont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top" shrinkToFit="1"/>
    </xf>
    <xf numFmtId="3" fontId="4" fillId="0" borderId="5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 vertical="center"/>
    </xf>
    <xf numFmtId="0" fontId="15" fillId="0" borderId="0" xfId="4" applyFont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top" shrinkToFit="1"/>
    </xf>
    <xf numFmtId="1" fontId="5" fillId="2" borderId="5" xfId="0" applyNumberFormat="1" applyFont="1" applyFill="1" applyBorder="1" applyAlignment="1">
      <alignment horizontal="center" vertical="top" shrinkToFit="1"/>
    </xf>
    <xf numFmtId="1" fontId="5" fillId="2" borderId="6" xfId="0" applyNumberFormat="1" applyFont="1" applyFill="1" applyBorder="1" applyAlignment="1">
      <alignment horizontal="center" vertical="top" shrinkToFit="1"/>
    </xf>
    <xf numFmtId="1" fontId="5" fillId="2" borderId="7" xfId="0" applyNumberFormat="1" applyFont="1" applyFill="1" applyBorder="1" applyAlignment="1">
      <alignment horizontal="center" vertical="top" shrinkToFit="1"/>
    </xf>
    <xf numFmtId="1" fontId="5" fillId="2" borderId="10" xfId="0" applyNumberFormat="1" applyFont="1" applyFill="1" applyBorder="1" applyAlignment="1">
      <alignment horizontal="center" vertical="top" shrinkToFit="1"/>
    </xf>
    <xf numFmtId="1" fontId="5" fillId="2" borderId="8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</cellXfs>
  <cellStyles count="5">
    <cellStyle name="Hyperlink" xfId="4" builtinId="8"/>
    <cellStyle name="Normal" xfId="0" builtinId="0"/>
    <cellStyle name="Normal 2" xfId="2" xr:uid="{AC910238-D374-BD4D-B409-BC3B3E504F3B}"/>
    <cellStyle name="Normal 3" xfId="3" xr:uid="{F6C7B832-97A8-C145-882F-52D97BDA2CEA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3n8a8pro7vhmx.cloudfront.net/progressalberta/pages/352/attachments/original/1498688518/An_Analysis_of_the_Data_Collected_On_Street_Checks_in_Edmonton.pdf" TargetMode="External"/><Relationship Id="rId1" Type="http://schemas.openxmlformats.org/officeDocument/2006/relationships/hyperlink" Target="https://d3n8a8pro7vhmx.cloudfront.net/progressalberta/pages/352/attachments/original/1498688518/An_Analysis_of_the_Data_Collected_On_Street_Checks_in_Edmont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4F2D-BCD8-8A4B-8BCA-9B5571A62FF2}">
  <dimension ref="A1:AG64"/>
  <sheetViews>
    <sheetView tabSelected="1" workbookViewId="0">
      <pane xSplit="1" topLeftCell="B1" activePane="topRight" state="frozen"/>
      <selection pane="topRight" sqref="A1:A2"/>
    </sheetView>
  </sheetViews>
  <sheetFormatPr baseColWidth="10" defaultRowHeight="13" x14ac:dyDescent="0.15"/>
  <cols>
    <col min="1" max="1" width="33.796875" customWidth="1"/>
    <col min="2" max="2" width="7.19921875" bestFit="1" customWidth="1"/>
    <col min="3" max="4" width="8.3984375" bestFit="1" customWidth="1"/>
    <col min="5" max="5" width="8.3984375" customWidth="1"/>
    <col min="6" max="6" width="7.19921875" bestFit="1" customWidth="1"/>
    <col min="7" max="7" width="8.3984375" bestFit="1" customWidth="1"/>
    <col min="8" max="8" width="7.19921875" bestFit="1" customWidth="1"/>
    <col min="9" max="9" width="8.3984375" bestFit="1" customWidth="1"/>
    <col min="10" max="10" width="8.19921875" customWidth="1"/>
    <col min="11" max="11" width="11.19921875" customWidth="1"/>
    <col min="12" max="12" width="8" bestFit="1" customWidth="1"/>
    <col min="13" max="13" width="8.3984375" bestFit="1" customWidth="1"/>
    <col min="14" max="14" width="8.59765625" customWidth="1"/>
    <col min="15" max="15" width="11" customWidth="1"/>
    <col min="16" max="16" width="7.19921875" bestFit="1" customWidth="1"/>
    <col min="17" max="17" width="8.3984375" bestFit="1" customWidth="1"/>
    <col min="18" max="18" width="7.19921875" bestFit="1" customWidth="1"/>
    <col min="19" max="19" width="8.3984375" bestFit="1" customWidth="1"/>
    <col min="20" max="20" width="7.19921875" bestFit="1" customWidth="1"/>
    <col min="21" max="21" width="8.3984375" bestFit="1" customWidth="1"/>
    <col min="22" max="22" width="7.19921875" bestFit="1" customWidth="1"/>
    <col min="23" max="23" width="8.3984375" bestFit="1" customWidth="1"/>
    <col min="24" max="24" width="7.19921875" bestFit="1" customWidth="1"/>
    <col min="25" max="25" width="8.3984375" bestFit="1" customWidth="1"/>
    <col min="26" max="26" width="6.19921875" bestFit="1" customWidth="1"/>
    <col min="27" max="28" width="8.3984375" bestFit="1" customWidth="1"/>
    <col min="29" max="29" width="8" bestFit="1" customWidth="1"/>
    <col min="30" max="30" width="6.19921875" bestFit="1" customWidth="1"/>
    <col min="31" max="31" width="8.3984375" bestFit="1" customWidth="1"/>
  </cols>
  <sheetData>
    <row r="1" spans="1:33" ht="15" customHeight="1" x14ac:dyDescent="0.15">
      <c r="A1" s="98" t="s">
        <v>69</v>
      </c>
      <c r="B1" s="100">
        <v>2008</v>
      </c>
      <c r="C1" s="100"/>
      <c r="D1" s="100">
        <v>2009</v>
      </c>
      <c r="E1" s="100"/>
      <c r="F1" s="100">
        <v>2010</v>
      </c>
      <c r="G1" s="100"/>
      <c r="H1" s="100">
        <v>2011</v>
      </c>
      <c r="I1" s="100"/>
      <c r="J1" s="100">
        <v>2012</v>
      </c>
      <c r="K1" s="100"/>
      <c r="L1" s="100">
        <v>2013</v>
      </c>
      <c r="M1" s="100"/>
      <c r="N1" s="100">
        <v>2014</v>
      </c>
      <c r="O1" s="100"/>
      <c r="P1" s="100">
        <v>2015</v>
      </c>
      <c r="Q1" s="100"/>
      <c r="R1" s="100">
        <v>2016</v>
      </c>
      <c r="S1" s="100"/>
      <c r="T1" s="100">
        <v>2017</v>
      </c>
      <c r="U1" s="100"/>
      <c r="V1" s="100">
        <v>2018</v>
      </c>
      <c r="W1" s="100"/>
      <c r="X1" s="100">
        <v>2019</v>
      </c>
      <c r="Y1" s="100"/>
      <c r="Z1" s="100">
        <v>2020</v>
      </c>
      <c r="AA1" s="100"/>
      <c r="AB1" s="100">
        <v>2021</v>
      </c>
      <c r="AC1" s="100"/>
      <c r="AD1" s="100">
        <v>2022</v>
      </c>
      <c r="AE1" s="100"/>
      <c r="AF1" s="104" t="s">
        <v>68</v>
      </c>
      <c r="AG1" s="105"/>
    </row>
    <row r="2" spans="1:33" ht="15" x14ac:dyDescent="0.15">
      <c r="A2" s="99"/>
      <c r="B2" s="14" t="s">
        <v>49</v>
      </c>
      <c r="C2" s="13" t="s">
        <v>47</v>
      </c>
      <c r="D2" s="14" t="s">
        <v>49</v>
      </c>
      <c r="E2" s="13" t="s">
        <v>47</v>
      </c>
      <c r="F2" s="14" t="s">
        <v>49</v>
      </c>
      <c r="G2" s="13" t="s">
        <v>47</v>
      </c>
      <c r="H2" s="14" t="s">
        <v>49</v>
      </c>
      <c r="I2" s="13" t="s">
        <v>47</v>
      </c>
      <c r="J2" s="14" t="s">
        <v>49</v>
      </c>
      <c r="K2" s="13" t="s">
        <v>47</v>
      </c>
      <c r="L2" s="14" t="s">
        <v>49</v>
      </c>
      <c r="M2" s="13" t="s">
        <v>47</v>
      </c>
      <c r="N2" s="14" t="s">
        <v>49</v>
      </c>
      <c r="O2" s="13" t="s">
        <v>47</v>
      </c>
      <c r="P2" s="14" t="s">
        <v>49</v>
      </c>
      <c r="Q2" s="13" t="s">
        <v>47</v>
      </c>
      <c r="R2" s="14" t="s">
        <v>49</v>
      </c>
      <c r="S2" s="13" t="s">
        <v>47</v>
      </c>
      <c r="T2" s="14" t="s">
        <v>49</v>
      </c>
      <c r="U2" s="13" t="s">
        <v>47</v>
      </c>
      <c r="V2" s="14" t="s">
        <v>49</v>
      </c>
      <c r="W2" s="13" t="s">
        <v>47</v>
      </c>
      <c r="X2" s="14" t="s">
        <v>49</v>
      </c>
      <c r="Y2" s="13" t="s">
        <v>47</v>
      </c>
      <c r="Z2" s="14" t="s">
        <v>49</v>
      </c>
      <c r="AA2" s="13" t="s">
        <v>47</v>
      </c>
      <c r="AB2" s="14" t="s">
        <v>49</v>
      </c>
      <c r="AC2" s="13" t="s">
        <v>47</v>
      </c>
      <c r="AD2" s="14" t="s">
        <v>49</v>
      </c>
      <c r="AE2" s="13" t="s">
        <v>47</v>
      </c>
      <c r="AF2" s="50" t="s">
        <v>49</v>
      </c>
      <c r="AG2" s="51" t="s">
        <v>47</v>
      </c>
    </row>
    <row r="3" spans="1:33" ht="16" x14ac:dyDescent="0.15">
      <c r="A3" s="58" t="s">
        <v>40</v>
      </c>
      <c r="B3" s="36">
        <v>32</v>
      </c>
      <c r="C3" s="37">
        <f t="shared" ref="C3:C10" si="0">B3/B$11</f>
        <v>4.3419267299864311E-2</v>
      </c>
      <c r="D3" s="36">
        <v>77</v>
      </c>
      <c r="E3" s="37">
        <f t="shared" ref="E3:E10" si="1">D3/D$11</f>
        <v>5.202702702702703E-2</v>
      </c>
      <c r="F3" s="36">
        <v>49</v>
      </c>
      <c r="G3" s="37">
        <f t="shared" ref="G3:G10" si="2">F3/F$11</f>
        <v>4.8466864490603362E-2</v>
      </c>
      <c r="H3" s="36">
        <v>45</v>
      </c>
      <c r="I3" s="37">
        <f t="shared" ref="I3:I10" si="3">H3/H$11</f>
        <v>3.7499999999999999E-2</v>
      </c>
      <c r="J3" s="36">
        <v>81</v>
      </c>
      <c r="K3" s="37">
        <f t="shared" ref="K3:K10" si="4">J3/J$11</f>
        <v>4.0785498489425982E-2</v>
      </c>
      <c r="L3" s="36">
        <v>136</v>
      </c>
      <c r="M3" s="37">
        <f t="shared" ref="M3:M10" si="5">L3/L$11</f>
        <v>4.321576104226247E-2</v>
      </c>
      <c r="N3" s="36">
        <v>204</v>
      </c>
      <c r="O3" s="37">
        <f t="shared" ref="O3:O10" si="6">N3/N$11</f>
        <v>3.8137969713965228E-2</v>
      </c>
      <c r="P3" s="36">
        <v>155</v>
      </c>
      <c r="Q3" s="37">
        <f t="shared" ref="Q3:Q10" si="7">P3/P$11</f>
        <v>2.6793431287813311E-2</v>
      </c>
      <c r="R3" s="36">
        <v>175</v>
      </c>
      <c r="S3" s="37">
        <f t="shared" ref="S3:S10" si="8">R3/R$11</f>
        <v>2.465483234714004E-2</v>
      </c>
      <c r="T3" s="36">
        <v>135</v>
      </c>
      <c r="U3" s="37">
        <f t="shared" ref="U3:U10" si="9">T3/T$11</f>
        <v>2.2105780252169641E-2</v>
      </c>
      <c r="V3" s="38">
        <v>55</v>
      </c>
      <c r="W3" s="37">
        <f t="shared" ref="W3:W10" si="10">V3/V$11</f>
        <v>1.9791291831594098E-2</v>
      </c>
      <c r="X3" s="36">
        <v>13</v>
      </c>
      <c r="Y3" s="37">
        <f t="shared" ref="Y3:Y10" si="11">X3/X$11</f>
        <v>2.4029574861367836E-2</v>
      </c>
      <c r="Z3" s="36">
        <v>4</v>
      </c>
      <c r="AA3" s="37">
        <f t="shared" ref="AA3:AA10" si="12">Z3/Z$11</f>
        <v>0.125</v>
      </c>
      <c r="AB3" s="36">
        <v>0</v>
      </c>
      <c r="AC3" s="37" t="s">
        <v>48</v>
      </c>
      <c r="AD3" s="36">
        <v>0</v>
      </c>
      <c r="AE3" s="37">
        <f t="shared" ref="AE3:AE10" si="13">AD3/AD$11</f>
        <v>0</v>
      </c>
      <c r="AF3" s="38">
        <f>SUM(B3,D3,F3,H3,J3,L3,N3,P3,R3,T3,V3,X3,Z3,AB3,AD3)</f>
        <v>1161</v>
      </c>
      <c r="AG3" s="37">
        <f t="shared" ref="AG3:AG10" si="14">AF3/AF$11</f>
        <v>3.1158584042296236E-2</v>
      </c>
    </row>
    <row r="4" spans="1:33" ht="16" x14ac:dyDescent="0.15">
      <c r="A4" s="55" t="s">
        <v>41</v>
      </c>
      <c r="B4" s="15">
        <v>22</v>
      </c>
      <c r="C4" s="16">
        <f t="shared" si="0"/>
        <v>2.9850746268656716E-2</v>
      </c>
      <c r="D4" s="15">
        <v>45</v>
      </c>
      <c r="E4" s="16">
        <f t="shared" si="1"/>
        <v>3.0405405405405407E-2</v>
      </c>
      <c r="F4" s="15">
        <v>49</v>
      </c>
      <c r="G4" s="16">
        <f t="shared" si="2"/>
        <v>4.8466864490603362E-2</v>
      </c>
      <c r="H4" s="15">
        <v>73</v>
      </c>
      <c r="I4" s="16">
        <f t="shared" si="3"/>
        <v>6.0833333333333336E-2</v>
      </c>
      <c r="J4" s="15">
        <v>101</v>
      </c>
      <c r="K4" s="16">
        <f t="shared" si="4"/>
        <v>5.0855991943605239E-2</v>
      </c>
      <c r="L4" s="15">
        <v>164</v>
      </c>
      <c r="M4" s="16">
        <f t="shared" si="5"/>
        <v>5.21131236097871E-2</v>
      </c>
      <c r="N4" s="15">
        <v>254</v>
      </c>
      <c r="O4" s="16">
        <f t="shared" si="6"/>
        <v>4.7485511310525329E-2</v>
      </c>
      <c r="P4" s="15">
        <v>385</v>
      </c>
      <c r="Q4" s="16">
        <f t="shared" si="7"/>
        <v>6.6551426101987901E-2</v>
      </c>
      <c r="R4" s="15">
        <v>368</v>
      </c>
      <c r="S4" s="16">
        <f t="shared" si="8"/>
        <v>5.1845590307128771E-2</v>
      </c>
      <c r="T4" s="15">
        <v>318</v>
      </c>
      <c r="U4" s="16">
        <f t="shared" si="9"/>
        <v>5.2071393482888487E-2</v>
      </c>
      <c r="V4" s="17">
        <v>134</v>
      </c>
      <c r="W4" s="16">
        <f t="shared" si="10"/>
        <v>4.8218783735156534E-2</v>
      </c>
      <c r="X4" s="15">
        <v>38</v>
      </c>
      <c r="Y4" s="16">
        <f t="shared" si="11"/>
        <v>7.0240295748613679E-2</v>
      </c>
      <c r="Z4" s="15">
        <v>2</v>
      </c>
      <c r="AA4" s="16">
        <f t="shared" si="12"/>
        <v>6.25E-2</v>
      </c>
      <c r="AB4" s="15">
        <v>0</v>
      </c>
      <c r="AC4" s="16" t="s">
        <v>48</v>
      </c>
      <c r="AD4" s="15">
        <v>0</v>
      </c>
      <c r="AE4" s="16">
        <f t="shared" si="13"/>
        <v>0</v>
      </c>
      <c r="AF4" s="17">
        <f t="shared" ref="AF4:AF10" si="15">SUM(B4,D4,F4,H4,J4,L4,N4,P4,R4,T4,V4,X4,Z4,AB4,AD4)</f>
        <v>1953</v>
      </c>
      <c r="AG4" s="16">
        <f t="shared" si="14"/>
        <v>5.2414052226188237E-2</v>
      </c>
    </row>
    <row r="5" spans="1:33" ht="16" x14ac:dyDescent="0.15">
      <c r="A5" s="55" t="s">
        <v>42</v>
      </c>
      <c r="B5" s="15">
        <v>17</v>
      </c>
      <c r="C5" s="16">
        <f t="shared" si="0"/>
        <v>2.3066485753052916E-2</v>
      </c>
      <c r="D5" s="15">
        <v>22</v>
      </c>
      <c r="E5" s="16">
        <f t="shared" si="1"/>
        <v>1.4864864864864866E-2</v>
      </c>
      <c r="F5" s="15">
        <v>25</v>
      </c>
      <c r="G5" s="16">
        <f t="shared" si="2"/>
        <v>2.4727992087042534E-2</v>
      </c>
      <c r="H5" s="15">
        <v>25</v>
      </c>
      <c r="I5" s="16">
        <f t="shared" si="3"/>
        <v>2.0833333333333332E-2</v>
      </c>
      <c r="J5" s="15">
        <v>54</v>
      </c>
      <c r="K5" s="16">
        <f t="shared" si="4"/>
        <v>2.7190332326283987E-2</v>
      </c>
      <c r="L5" s="15">
        <v>86</v>
      </c>
      <c r="M5" s="16">
        <f t="shared" si="5"/>
        <v>2.7327613600254212E-2</v>
      </c>
      <c r="N5" s="15">
        <v>121</v>
      </c>
      <c r="O5" s="16">
        <f t="shared" si="6"/>
        <v>2.2621050663675455E-2</v>
      </c>
      <c r="P5" s="15">
        <v>156</v>
      </c>
      <c r="Q5" s="16">
        <f t="shared" si="7"/>
        <v>2.6966292134831461E-2</v>
      </c>
      <c r="R5" s="15">
        <v>152</v>
      </c>
      <c r="S5" s="16">
        <f t="shared" si="8"/>
        <v>2.1414482952944493E-2</v>
      </c>
      <c r="T5" s="15">
        <v>113</v>
      </c>
      <c r="U5" s="16">
        <f t="shared" si="9"/>
        <v>1.8503356803667922E-2</v>
      </c>
      <c r="V5" s="17">
        <v>63</v>
      </c>
      <c r="W5" s="16">
        <f t="shared" si="10"/>
        <v>2.2670025188916875E-2</v>
      </c>
      <c r="X5" s="15">
        <v>10</v>
      </c>
      <c r="Y5" s="16">
        <f t="shared" si="11"/>
        <v>1.8484288354898338E-2</v>
      </c>
      <c r="Z5" s="15">
        <v>0</v>
      </c>
      <c r="AA5" s="16">
        <f t="shared" si="12"/>
        <v>0</v>
      </c>
      <c r="AB5" s="15">
        <v>0</v>
      </c>
      <c r="AC5" s="16" t="s">
        <v>48</v>
      </c>
      <c r="AD5" s="15">
        <v>1</v>
      </c>
      <c r="AE5" s="16">
        <f t="shared" si="13"/>
        <v>0.1111111111111111</v>
      </c>
      <c r="AF5" s="17">
        <f t="shared" si="15"/>
        <v>845</v>
      </c>
      <c r="AG5" s="16">
        <f t="shared" si="14"/>
        <v>2.267786693862215E-2</v>
      </c>
    </row>
    <row r="6" spans="1:33" ht="16" x14ac:dyDescent="0.15">
      <c r="A6" s="55" t="s">
        <v>39</v>
      </c>
      <c r="B6" s="15">
        <v>81</v>
      </c>
      <c r="C6" s="16">
        <f t="shared" si="0"/>
        <v>0.10990502035278155</v>
      </c>
      <c r="D6" s="15">
        <v>211</v>
      </c>
      <c r="E6" s="16">
        <f t="shared" si="1"/>
        <v>0.14256756756756755</v>
      </c>
      <c r="F6" s="15">
        <v>148</v>
      </c>
      <c r="G6" s="16">
        <f t="shared" si="2"/>
        <v>0.14638971315529178</v>
      </c>
      <c r="H6" s="15">
        <v>228</v>
      </c>
      <c r="I6" s="16">
        <f t="shared" si="3"/>
        <v>0.19</v>
      </c>
      <c r="J6" s="15">
        <v>385</v>
      </c>
      <c r="K6" s="16">
        <f t="shared" si="4"/>
        <v>0.19385699899295064</v>
      </c>
      <c r="L6" s="15">
        <v>549</v>
      </c>
      <c r="M6" s="16">
        <f t="shared" si="5"/>
        <v>0.17445185891325071</v>
      </c>
      <c r="N6" s="15">
        <v>927</v>
      </c>
      <c r="O6" s="16">
        <f t="shared" si="6"/>
        <v>0.17330342120022435</v>
      </c>
      <c r="P6" s="17">
        <v>1080</v>
      </c>
      <c r="Q6" s="16">
        <f t="shared" si="7"/>
        <v>0.18668971477960242</v>
      </c>
      <c r="R6" s="17">
        <v>1205</v>
      </c>
      <c r="S6" s="16">
        <f t="shared" si="8"/>
        <v>0.16976613130459284</v>
      </c>
      <c r="T6" s="15">
        <v>913</v>
      </c>
      <c r="U6" s="16">
        <f t="shared" si="9"/>
        <v>0.14950057311282136</v>
      </c>
      <c r="V6" s="17">
        <v>461</v>
      </c>
      <c r="W6" s="16">
        <f t="shared" si="10"/>
        <v>0.16588700971572509</v>
      </c>
      <c r="X6" s="15">
        <v>84</v>
      </c>
      <c r="Y6" s="16">
        <f t="shared" si="11"/>
        <v>0.15526802218114602</v>
      </c>
      <c r="Z6" s="15">
        <v>3</v>
      </c>
      <c r="AA6" s="16">
        <f t="shared" si="12"/>
        <v>9.375E-2</v>
      </c>
      <c r="AB6" s="15">
        <v>0</v>
      </c>
      <c r="AC6" s="16" t="s">
        <v>48</v>
      </c>
      <c r="AD6" s="15">
        <v>0</v>
      </c>
      <c r="AE6" s="16">
        <f t="shared" si="13"/>
        <v>0</v>
      </c>
      <c r="AF6" s="17">
        <f t="shared" si="15"/>
        <v>6275</v>
      </c>
      <c r="AG6" s="16">
        <f t="shared" si="14"/>
        <v>0.16840664501757871</v>
      </c>
    </row>
    <row r="7" spans="1:33" ht="16" x14ac:dyDescent="0.15">
      <c r="A7" s="55" t="s">
        <v>43</v>
      </c>
      <c r="B7" s="15">
        <v>16</v>
      </c>
      <c r="C7" s="16">
        <f t="shared" si="0"/>
        <v>2.1709633649932156E-2</v>
      </c>
      <c r="D7" s="15">
        <v>35</v>
      </c>
      <c r="E7" s="16">
        <f t="shared" si="1"/>
        <v>2.364864864864865E-2</v>
      </c>
      <c r="F7" s="15">
        <v>39</v>
      </c>
      <c r="G7" s="16">
        <f t="shared" si="2"/>
        <v>3.857566765578635E-2</v>
      </c>
      <c r="H7" s="15">
        <v>33</v>
      </c>
      <c r="I7" s="16">
        <f t="shared" si="3"/>
        <v>2.75E-2</v>
      </c>
      <c r="J7" s="15">
        <v>62</v>
      </c>
      <c r="K7" s="16">
        <f t="shared" si="4"/>
        <v>3.1218529707955689E-2</v>
      </c>
      <c r="L7" s="15">
        <v>86</v>
      </c>
      <c r="M7" s="16">
        <f t="shared" si="5"/>
        <v>2.7327613600254212E-2</v>
      </c>
      <c r="N7" s="15">
        <v>145</v>
      </c>
      <c r="O7" s="16">
        <f t="shared" si="6"/>
        <v>2.7107870630024303E-2</v>
      </c>
      <c r="P7" s="15">
        <v>156</v>
      </c>
      <c r="Q7" s="16">
        <f t="shared" si="7"/>
        <v>2.6966292134831461E-2</v>
      </c>
      <c r="R7" s="15">
        <v>185</v>
      </c>
      <c r="S7" s="16">
        <f t="shared" si="8"/>
        <v>2.6063679909833756E-2</v>
      </c>
      <c r="T7" s="15">
        <v>191</v>
      </c>
      <c r="U7" s="16">
        <f t="shared" si="9"/>
        <v>3.1275585393810382E-2</v>
      </c>
      <c r="V7" s="17">
        <v>69</v>
      </c>
      <c r="W7" s="16">
        <f t="shared" si="10"/>
        <v>2.4829075206908961E-2</v>
      </c>
      <c r="X7" s="15">
        <v>26</v>
      </c>
      <c r="Y7" s="16">
        <f t="shared" si="11"/>
        <v>4.8059149722735672E-2</v>
      </c>
      <c r="Z7" s="15">
        <v>2</v>
      </c>
      <c r="AA7" s="16">
        <f t="shared" si="12"/>
        <v>6.25E-2</v>
      </c>
      <c r="AB7" s="15">
        <v>0</v>
      </c>
      <c r="AC7" s="16" t="s">
        <v>48</v>
      </c>
      <c r="AD7" s="15">
        <v>0</v>
      </c>
      <c r="AE7" s="16">
        <f t="shared" si="13"/>
        <v>0</v>
      </c>
      <c r="AF7" s="17">
        <f t="shared" si="15"/>
        <v>1045</v>
      </c>
      <c r="AG7" s="16">
        <f t="shared" si="14"/>
        <v>2.804540940930195E-2</v>
      </c>
    </row>
    <row r="8" spans="1:33" ht="16" x14ac:dyDescent="0.15">
      <c r="A8" s="55" t="s">
        <v>44</v>
      </c>
      <c r="B8" s="15">
        <v>44</v>
      </c>
      <c r="C8" s="16">
        <f t="shared" si="0"/>
        <v>5.9701492537313432E-2</v>
      </c>
      <c r="D8" s="15">
        <v>93</v>
      </c>
      <c r="E8" s="16">
        <f t="shared" si="1"/>
        <v>6.2837837837837834E-2</v>
      </c>
      <c r="F8" s="15">
        <v>50</v>
      </c>
      <c r="G8" s="16">
        <f t="shared" si="2"/>
        <v>4.9455984174085067E-2</v>
      </c>
      <c r="H8" s="15">
        <v>33</v>
      </c>
      <c r="I8" s="16">
        <f t="shared" si="3"/>
        <v>2.75E-2</v>
      </c>
      <c r="J8" s="15">
        <v>84</v>
      </c>
      <c r="K8" s="16">
        <f t="shared" si="4"/>
        <v>4.2296072507552872E-2</v>
      </c>
      <c r="L8" s="15">
        <v>106</v>
      </c>
      <c r="M8" s="16">
        <f t="shared" si="5"/>
        <v>3.3682872577057515E-2</v>
      </c>
      <c r="N8" s="15">
        <v>161</v>
      </c>
      <c r="O8" s="16">
        <f t="shared" si="6"/>
        <v>3.0099083940923536E-2</v>
      </c>
      <c r="P8" s="15">
        <v>183</v>
      </c>
      <c r="Q8" s="16">
        <f t="shared" si="7"/>
        <v>3.163353500432152E-2</v>
      </c>
      <c r="R8" s="15">
        <v>205</v>
      </c>
      <c r="S8" s="16">
        <f t="shared" si="8"/>
        <v>2.8881375035221188E-2</v>
      </c>
      <c r="T8" s="15">
        <v>168</v>
      </c>
      <c r="U8" s="16">
        <f t="shared" si="9"/>
        <v>2.7509415424922221E-2</v>
      </c>
      <c r="V8" s="17">
        <v>107</v>
      </c>
      <c r="W8" s="16">
        <f t="shared" si="10"/>
        <v>3.8503058654192159E-2</v>
      </c>
      <c r="X8" s="15">
        <v>32</v>
      </c>
      <c r="Y8" s="16">
        <f t="shared" si="11"/>
        <v>5.9149722735674676E-2</v>
      </c>
      <c r="Z8" s="15">
        <v>5</v>
      </c>
      <c r="AA8" s="16">
        <f t="shared" si="12"/>
        <v>0.15625</v>
      </c>
      <c r="AB8" s="15">
        <v>0</v>
      </c>
      <c r="AC8" s="16" t="s">
        <v>48</v>
      </c>
      <c r="AD8" s="15">
        <v>2</v>
      </c>
      <c r="AE8" s="16">
        <f t="shared" si="13"/>
        <v>0.22222222222222221</v>
      </c>
      <c r="AF8" s="17">
        <f t="shared" si="15"/>
        <v>1273</v>
      </c>
      <c r="AG8" s="16">
        <f t="shared" si="14"/>
        <v>3.4164407825876923E-2</v>
      </c>
    </row>
    <row r="9" spans="1:33" ht="16" x14ac:dyDescent="0.15">
      <c r="A9" s="55" t="s">
        <v>45</v>
      </c>
      <c r="B9" s="15">
        <v>520</v>
      </c>
      <c r="C9" s="16">
        <f t="shared" si="0"/>
        <v>0.70556309362279512</v>
      </c>
      <c r="D9" s="15">
        <v>994</v>
      </c>
      <c r="E9" s="16">
        <f t="shared" si="1"/>
        <v>0.67162162162162165</v>
      </c>
      <c r="F9" s="15">
        <v>649</v>
      </c>
      <c r="G9" s="16">
        <f t="shared" si="2"/>
        <v>0.64193867457962417</v>
      </c>
      <c r="H9" s="15">
        <v>762</v>
      </c>
      <c r="I9" s="16">
        <f t="shared" si="3"/>
        <v>0.63500000000000001</v>
      </c>
      <c r="J9" s="17">
        <v>1214</v>
      </c>
      <c r="K9" s="16">
        <f t="shared" si="4"/>
        <v>0.61127895266868082</v>
      </c>
      <c r="L9" s="17">
        <v>2014</v>
      </c>
      <c r="M9" s="16">
        <f t="shared" si="5"/>
        <v>0.63997457896409282</v>
      </c>
      <c r="N9" s="17">
        <v>3528</v>
      </c>
      <c r="O9" s="16">
        <f t="shared" si="6"/>
        <v>0.659562535053281</v>
      </c>
      <c r="P9" s="17">
        <v>3659</v>
      </c>
      <c r="Q9" s="16">
        <f t="shared" si="7"/>
        <v>0.63249783923941227</v>
      </c>
      <c r="R9" s="17">
        <v>4795</v>
      </c>
      <c r="S9" s="16">
        <f t="shared" si="8"/>
        <v>0.67554240631163709</v>
      </c>
      <c r="T9" s="17">
        <v>4257</v>
      </c>
      <c r="U9" s="16">
        <f t="shared" si="9"/>
        <v>0.69706893728508268</v>
      </c>
      <c r="V9" s="17">
        <v>1880</v>
      </c>
      <c r="W9" s="16">
        <f t="shared" si="10"/>
        <v>0.67650233897085288</v>
      </c>
      <c r="X9" s="15">
        <v>335</v>
      </c>
      <c r="Y9" s="16">
        <f t="shared" si="11"/>
        <v>0.61922365988909422</v>
      </c>
      <c r="Z9" s="15">
        <v>16</v>
      </c>
      <c r="AA9" s="16">
        <f t="shared" si="12"/>
        <v>0.5</v>
      </c>
      <c r="AB9" s="15">
        <v>0</v>
      </c>
      <c r="AC9" s="16" t="s">
        <v>48</v>
      </c>
      <c r="AD9" s="15">
        <v>6</v>
      </c>
      <c r="AE9" s="16">
        <f t="shared" si="13"/>
        <v>0.66666666666666663</v>
      </c>
      <c r="AF9" s="17">
        <f t="shared" si="15"/>
        <v>24629</v>
      </c>
      <c r="AG9" s="16">
        <f t="shared" si="14"/>
        <v>0.66098601755186392</v>
      </c>
    </row>
    <row r="10" spans="1:33" ht="16" x14ac:dyDescent="0.15">
      <c r="A10" s="55" t="s">
        <v>7</v>
      </c>
      <c r="B10" s="15">
        <v>5</v>
      </c>
      <c r="C10" s="16">
        <f t="shared" si="0"/>
        <v>6.7842605156037995E-3</v>
      </c>
      <c r="D10" s="15">
        <v>3</v>
      </c>
      <c r="E10" s="16">
        <f t="shared" si="1"/>
        <v>2.0270270270270271E-3</v>
      </c>
      <c r="F10" s="15">
        <v>2</v>
      </c>
      <c r="G10" s="16">
        <f t="shared" si="2"/>
        <v>1.9782393669634025E-3</v>
      </c>
      <c r="H10" s="15">
        <v>1</v>
      </c>
      <c r="I10" s="16">
        <f t="shared" si="3"/>
        <v>8.3333333333333339E-4</v>
      </c>
      <c r="J10" s="15">
        <v>5</v>
      </c>
      <c r="K10" s="16">
        <f t="shared" si="4"/>
        <v>2.5176233635448137E-3</v>
      </c>
      <c r="L10" s="15">
        <v>6</v>
      </c>
      <c r="M10" s="16">
        <f t="shared" si="5"/>
        <v>1.9065776930409914E-3</v>
      </c>
      <c r="N10" s="15">
        <v>9</v>
      </c>
      <c r="O10" s="16">
        <f t="shared" si="6"/>
        <v>1.6825574873808188E-3</v>
      </c>
      <c r="P10" s="15">
        <v>11</v>
      </c>
      <c r="Q10" s="16">
        <f t="shared" si="7"/>
        <v>1.9014693171996544E-3</v>
      </c>
      <c r="R10" s="15">
        <v>13</v>
      </c>
      <c r="S10" s="16">
        <f t="shared" si="8"/>
        <v>1.8315018315018315E-3</v>
      </c>
      <c r="T10" s="15">
        <v>12</v>
      </c>
      <c r="U10" s="16">
        <f t="shared" si="9"/>
        <v>1.9649582446373015E-3</v>
      </c>
      <c r="V10" s="17">
        <v>10</v>
      </c>
      <c r="W10" s="16">
        <f t="shared" si="10"/>
        <v>3.5984166966534724E-3</v>
      </c>
      <c r="X10" s="15">
        <v>3</v>
      </c>
      <c r="Y10" s="16">
        <f t="shared" si="11"/>
        <v>5.5452865064695009E-3</v>
      </c>
      <c r="Z10" s="15">
        <v>0</v>
      </c>
      <c r="AA10" s="16">
        <f t="shared" si="12"/>
        <v>0</v>
      </c>
      <c r="AB10" s="15">
        <v>0</v>
      </c>
      <c r="AC10" s="16" t="s">
        <v>48</v>
      </c>
      <c r="AD10" s="15">
        <v>0</v>
      </c>
      <c r="AE10" s="16">
        <f t="shared" si="13"/>
        <v>0</v>
      </c>
      <c r="AF10" s="17">
        <f t="shared" si="15"/>
        <v>80</v>
      </c>
      <c r="AG10" s="16">
        <f t="shared" si="14"/>
        <v>2.1470169882719199E-3</v>
      </c>
    </row>
    <row r="11" spans="1:33" ht="16" x14ac:dyDescent="0.15">
      <c r="A11" s="57" t="s">
        <v>50</v>
      </c>
      <c r="B11" s="19">
        <f>SUM(B3:B10)</f>
        <v>737</v>
      </c>
      <c r="C11" s="20"/>
      <c r="D11" s="19">
        <f>SUM(D3:D10)</f>
        <v>1480</v>
      </c>
      <c r="E11" s="20"/>
      <c r="F11" s="19">
        <f>SUM(F3:F10)</f>
        <v>1011</v>
      </c>
      <c r="G11" s="20"/>
      <c r="H11" s="19">
        <f>SUM(H3:H10)</f>
        <v>1200</v>
      </c>
      <c r="I11" s="20"/>
      <c r="J11" s="19">
        <f>SUM(J3:J10)</f>
        <v>1986</v>
      </c>
      <c r="K11" s="20"/>
      <c r="L11" s="19">
        <f>SUM(L3:L10)</f>
        <v>3147</v>
      </c>
      <c r="M11" s="20"/>
      <c r="N11" s="19">
        <f>SUM(N3:N10)</f>
        <v>5349</v>
      </c>
      <c r="O11" s="20"/>
      <c r="P11" s="19">
        <f>SUM(P3:P10)</f>
        <v>5785</v>
      </c>
      <c r="Q11" s="20"/>
      <c r="R11" s="19">
        <f>SUM(R3:R10)</f>
        <v>7098</v>
      </c>
      <c r="S11" s="20"/>
      <c r="T11" s="19">
        <f>SUM(T3:T10)</f>
        <v>6107</v>
      </c>
      <c r="U11" s="20"/>
      <c r="V11" s="19">
        <f>SUM(V3:V10)</f>
        <v>2779</v>
      </c>
      <c r="W11" s="20"/>
      <c r="X11" s="19">
        <f>SUM(X3:X10)</f>
        <v>541</v>
      </c>
      <c r="Y11" s="20"/>
      <c r="Z11" s="19">
        <f>SUM(Z3:Z10)</f>
        <v>32</v>
      </c>
      <c r="AA11" s="20"/>
      <c r="AB11" s="19">
        <f>SUM(AB3:AB10)</f>
        <v>0</v>
      </c>
      <c r="AC11" s="20"/>
      <c r="AD11" s="19">
        <f>SUM(AD3:AD10)</f>
        <v>9</v>
      </c>
      <c r="AE11" s="20"/>
      <c r="AF11" s="21">
        <f>SUM(AF3:AF10)</f>
        <v>37261</v>
      </c>
      <c r="AG11" s="18"/>
    </row>
    <row r="12" spans="1:33" ht="15" x14ac:dyDescent="0.15">
      <c r="A12" s="3"/>
    </row>
    <row r="14" spans="1:33" ht="15" x14ac:dyDescent="0.15">
      <c r="B14" s="100">
        <v>2008</v>
      </c>
      <c r="C14" s="100"/>
      <c r="D14" s="100">
        <v>2009</v>
      </c>
      <c r="E14" s="100"/>
      <c r="F14" s="100">
        <v>2010</v>
      </c>
      <c r="G14" s="100"/>
      <c r="H14" s="101" t="s">
        <v>65</v>
      </c>
      <c r="I14" s="102"/>
      <c r="J14" s="102"/>
      <c r="K14" s="103"/>
    </row>
    <row r="15" spans="1:33" ht="48" customHeight="1" x14ac:dyDescent="0.2">
      <c r="A15" s="56" t="s">
        <v>58</v>
      </c>
      <c r="B15" s="43" t="s">
        <v>49</v>
      </c>
      <c r="C15" s="44" t="s">
        <v>47</v>
      </c>
      <c r="D15" s="43" t="s">
        <v>49</v>
      </c>
      <c r="E15" s="44" t="s">
        <v>47</v>
      </c>
      <c r="F15" s="43" t="s">
        <v>49</v>
      </c>
      <c r="G15" s="44" t="s">
        <v>47</v>
      </c>
      <c r="H15" s="43" t="s">
        <v>49</v>
      </c>
      <c r="I15" s="49" t="s">
        <v>47</v>
      </c>
      <c r="J15" s="52" t="s">
        <v>51</v>
      </c>
      <c r="K15" s="53" t="s">
        <v>54</v>
      </c>
    </row>
    <row r="16" spans="1:33" ht="16" x14ac:dyDescent="0.2">
      <c r="A16" s="58" t="s">
        <v>40</v>
      </c>
      <c r="B16" s="36">
        <v>32</v>
      </c>
      <c r="C16" s="37">
        <f>B16/B$11</f>
        <v>4.3419267299864311E-2</v>
      </c>
      <c r="D16" s="36">
        <v>77</v>
      </c>
      <c r="E16" s="37">
        <f>D16/D$11</f>
        <v>5.202702702702703E-2</v>
      </c>
      <c r="F16" s="36">
        <v>49</v>
      </c>
      <c r="G16" s="37">
        <f>F16/F$11</f>
        <v>4.8466864490603362E-2</v>
      </c>
      <c r="H16" s="38">
        <f>SUM(B16,D16,F16)</f>
        <v>158</v>
      </c>
      <c r="I16" s="45">
        <f t="shared" ref="I16:I23" si="16">H16/H$24</f>
        <v>4.8946716232961589E-2</v>
      </c>
      <c r="J16" s="45">
        <v>0.26890453890060656</v>
      </c>
      <c r="K16" s="33">
        <f>H16/564155*100000/(H$22/1182355*100000)</f>
        <v>0.15309112631157898</v>
      </c>
    </row>
    <row r="17" spans="1:15" ht="16" x14ac:dyDescent="0.2">
      <c r="A17" s="55" t="s">
        <v>41</v>
      </c>
      <c r="B17" s="15">
        <v>22</v>
      </c>
      <c r="C17" s="16">
        <f t="shared" ref="C17" si="17">B17/B$11</f>
        <v>2.9850746268656716E-2</v>
      </c>
      <c r="D17" s="15">
        <v>45</v>
      </c>
      <c r="E17" s="16">
        <f t="shared" ref="E17" si="18">D17/D$11</f>
        <v>3.0405405405405407E-2</v>
      </c>
      <c r="F17" s="15">
        <v>49</v>
      </c>
      <c r="G17" s="16">
        <f t="shared" ref="G17:G23" si="19">F17/F$11</f>
        <v>4.8466864490603362E-2</v>
      </c>
      <c r="H17" s="17">
        <f t="shared" ref="H17:H23" si="20">SUM(B17,D17,F17)</f>
        <v>116</v>
      </c>
      <c r="I17" s="46">
        <f t="shared" si="16"/>
        <v>3.5935563816604711E-2</v>
      </c>
      <c r="J17" s="46">
        <v>9.8523576305723382E-3</v>
      </c>
      <c r="K17" s="34">
        <f>H17/20670*100000/(H$22/1182355*100000)</f>
        <v>3.0676717392233059</v>
      </c>
    </row>
    <row r="18" spans="1:15" ht="16" x14ac:dyDescent="0.2">
      <c r="A18" s="55" t="s">
        <v>42</v>
      </c>
      <c r="B18" s="15">
        <v>17</v>
      </c>
      <c r="C18" s="16">
        <f t="shared" ref="C18" si="21">B18/B$11</f>
        <v>2.3066485753052916E-2</v>
      </c>
      <c r="D18" s="15">
        <v>22</v>
      </c>
      <c r="E18" s="16">
        <f t="shared" ref="E18" si="22">D18/D$11</f>
        <v>1.4864864864864866E-2</v>
      </c>
      <c r="F18" s="15">
        <v>25</v>
      </c>
      <c r="G18" s="16">
        <f t="shared" si="19"/>
        <v>2.4727992087042534E-2</v>
      </c>
      <c r="H18" s="17">
        <f t="shared" si="20"/>
        <v>64</v>
      </c>
      <c r="I18" s="46">
        <f t="shared" si="16"/>
        <v>1.9826517967781909E-2</v>
      </c>
      <c r="J18" s="46">
        <v>1.0817574089300397E-2</v>
      </c>
      <c r="K18" s="34">
        <f>H18/22695*100000/(H$22/1182355*100000)</f>
        <v>1.5414915902727044</v>
      </c>
    </row>
    <row r="19" spans="1:15" ht="16" x14ac:dyDescent="0.2">
      <c r="A19" s="55" t="s">
        <v>39</v>
      </c>
      <c r="B19" s="15">
        <v>81</v>
      </c>
      <c r="C19" s="16">
        <f t="shared" ref="C19" si="23">B19/B$11</f>
        <v>0.10990502035278155</v>
      </c>
      <c r="D19" s="15">
        <v>211</v>
      </c>
      <c r="E19" s="16">
        <f t="shared" ref="E19" si="24">D19/D$11</f>
        <v>0.14256756756756755</v>
      </c>
      <c r="F19" s="15">
        <v>148</v>
      </c>
      <c r="G19" s="16">
        <f t="shared" si="19"/>
        <v>0.14638971315529178</v>
      </c>
      <c r="H19" s="17">
        <f t="shared" si="20"/>
        <v>440</v>
      </c>
      <c r="I19" s="46">
        <f t="shared" si="16"/>
        <v>0.13630731102850063</v>
      </c>
      <c r="J19" s="46">
        <v>1.9213765654976823E-2</v>
      </c>
      <c r="K19" s="34">
        <f>H19/40310*100000/(H$22/1182355*100000)</f>
        <v>5.9666594525804584</v>
      </c>
    </row>
    <row r="20" spans="1:15" ht="16" x14ac:dyDescent="0.2">
      <c r="A20" s="55" t="s">
        <v>43</v>
      </c>
      <c r="B20" s="15">
        <v>16</v>
      </c>
      <c r="C20" s="16">
        <f t="shared" ref="C20" si="25">B20/B$11</f>
        <v>2.1709633649932156E-2</v>
      </c>
      <c r="D20" s="15">
        <v>35</v>
      </c>
      <c r="E20" s="16">
        <f t="shared" ref="E20" si="26">D20/D$11</f>
        <v>2.364864864864865E-2</v>
      </c>
      <c r="F20" s="15">
        <v>39</v>
      </c>
      <c r="G20" s="16">
        <f t="shared" si="19"/>
        <v>3.857566765578635E-2</v>
      </c>
      <c r="H20" s="17">
        <f t="shared" si="20"/>
        <v>90</v>
      </c>
      <c r="I20" s="46">
        <f t="shared" si="16"/>
        <v>2.7881040892193308E-2</v>
      </c>
      <c r="J20" s="46">
        <v>1.6963977168460063E-2</v>
      </c>
      <c r="K20" s="34">
        <f>H20/35590*100000/(H$22/1182355*100000)</f>
        <v>1.3823114145965827</v>
      </c>
    </row>
    <row r="21" spans="1:15" ht="16" x14ac:dyDescent="0.2">
      <c r="A21" s="55" t="s">
        <v>44</v>
      </c>
      <c r="B21" s="15">
        <v>44</v>
      </c>
      <c r="C21" s="16">
        <f t="shared" ref="C21" si="27">B21/B$11</f>
        <v>5.9701492537313432E-2</v>
      </c>
      <c r="D21" s="15">
        <v>93</v>
      </c>
      <c r="E21" s="16">
        <f t="shared" ref="E21" si="28">D21/D$11</f>
        <v>6.2837837837837834E-2</v>
      </c>
      <c r="F21" s="15">
        <v>50</v>
      </c>
      <c r="G21" s="16">
        <f t="shared" si="19"/>
        <v>4.9455984174085067E-2</v>
      </c>
      <c r="H21" s="17">
        <f t="shared" si="20"/>
        <v>187</v>
      </c>
      <c r="I21" s="46">
        <f t="shared" si="16"/>
        <v>5.7930607187112765E-2</v>
      </c>
      <c r="J21" s="46">
        <v>9.8745218603653526E-2</v>
      </c>
      <c r="K21" s="34">
        <f>H21/207165*100000/(H$22/1182355*100000)</f>
        <v>0.49341982514780613</v>
      </c>
    </row>
    <row r="22" spans="1:15" ht="16" x14ac:dyDescent="0.2">
      <c r="A22" s="55" t="s">
        <v>45</v>
      </c>
      <c r="B22" s="15">
        <v>520</v>
      </c>
      <c r="C22" s="16">
        <f t="shared" ref="C22" si="29">B22/B$11</f>
        <v>0.70556309362279512</v>
      </c>
      <c r="D22" s="15">
        <v>994</v>
      </c>
      <c r="E22" s="16">
        <f t="shared" ref="E22" si="30">D22/D$11</f>
        <v>0.67162162162162165</v>
      </c>
      <c r="F22" s="15">
        <v>649</v>
      </c>
      <c r="G22" s="16">
        <f t="shared" si="19"/>
        <v>0.64193867457962417</v>
      </c>
      <c r="H22" s="17">
        <f t="shared" si="20"/>
        <v>2163</v>
      </c>
      <c r="I22" s="46">
        <f t="shared" si="16"/>
        <v>0.6700743494423792</v>
      </c>
      <c r="J22" s="46">
        <v>0.56356963262193305</v>
      </c>
      <c r="K22" s="34">
        <f>H22/1182355*100000/(H$22/1182355*100000)</f>
        <v>1</v>
      </c>
    </row>
    <row r="23" spans="1:15" ht="16" x14ac:dyDescent="0.2">
      <c r="A23" s="55" t="s">
        <v>7</v>
      </c>
      <c r="B23" s="15">
        <v>5</v>
      </c>
      <c r="C23" s="16">
        <f t="shared" ref="C23" si="31">B23/B$11</f>
        <v>6.7842605156037995E-3</v>
      </c>
      <c r="D23" s="15">
        <v>3</v>
      </c>
      <c r="E23" s="16">
        <f t="shared" ref="E23" si="32">D23/D$11</f>
        <v>2.0270270270270271E-3</v>
      </c>
      <c r="F23" s="15">
        <v>2</v>
      </c>
      <c r="G23" s="16">
        <f t="shared" si="19"/>
        <v>1.9782393669634025E-3</v>
      </c>
      <c r="H23" s="17">
        <f t="shared" si="20"/>
        <v>10</v>
      </c>
      <c r="I23" s="46">
        <f t="shared" si="16"/>
        <v>3.0978934324659233E-3</v>
      </c>
      <c r="J23" s="47">
        <v>1.1932935330497265E-2</v>
      </c>
      <c r="K23" s="35">
        <f>H23/25035*100000/(H$22/1182355*100000)</f>
        <v>0.21834526438760127</v>
      </c>
    </row>
    <row r="24" spans="1:15" ht="16" x14ac:dyDescent="0.15">
      <c r="A24" s="57" t="s">
        <v>50</v>
      </c>
      <c r="B24" s="40">
        <f>SUM(B16:B23)</f>
        <v>737</v>
      </c>
      <c r="C24" s="41"/>
      <c r="D24" s="40">
        <f>SUM(D16:D23)</f>
        <v>1480</v>
      </c>
      <c r="E24" s="41"/>
      <c r="F24" s="40">
        <f>SUM(F16:F23)</f>
        <v>1011</v>
      </c>
      <c r="G24" s="41"/>
      <c r="H24" s="54">
        <f>SUM(H16:H23)</f>
        <v>3228</v>
      </c>
      <c r="I24" s="39"/>
      <c r="J24" s="39"/>
      <c r="K24" s="18"/>
    </row>
    <row r="27" spans="1:15" ht="15" x14ac:dyDescent="0.15">
      <c r="B27" s="100">
        <v>2011</v>
      </c>
      <c r="C27" s="100"/>
      <c r="D27" s="100">
        <v>2012</v>
      </c>
      <c r="E27" s="100"/>
      <c r="F27" s="100">
        <v>2013</v>
      </c>
      <c r="G27" s="100"/>
      <c r="H27" s="100">
        <v>2014</v>
      </c>
      <c r="I27" s="100"/>
      <c r="J27" s="100">
        <v>2015</v>
      </c>
      <c r="K27" s="100"/>
      <c r="L27" s="101" t="s">
        <v>66</v>
      </c>
      <c r="M27" s="102"/>
      <c r="N27" s="102"/>
      <c r="O27" s="103"/>
    </row>
    <row r="28" spans="1:15" ht="49" customHeight="1" x14ac:dyDescent="0.2">
      <c r="A28" s="56" t="s">
        <v>58</v>
      </c>
      <c r="B28" s="43" t="s">
        <v>49</v>
      </c>
      <c r="C28" s="44" t="s">
        <v>47</v>
      </c>
      <c r="D28" s="43" t="s">
        <v>49</v>
      </c>
      <c r="E28" s="44" t="s">
        <v>47</v>
      </c>
      <c r="F28" s="43" t="s">
        <v>49</v>
      </c>
      <c r="G28" s="44" t="s">
        <v>47</v>
      </c>
      <c r="H28" s="43" t="s">
        <v>49</v>
      </c>
      <c r="I28" s="44" t="s">
        <v>47</v>
      </c>
      <c r="J28" s="43" t="s">
        <v>49</v>
      </c>
      <c r="K28" s="44" t="s">
        <v>47</v>
      </c>
      <c r="L28" s="43" t="s">
        <v>49</v>
      </c>
      <c r="M28" s="49" t="s">
        <v>47</v>
      </c>
      <c r="N28" s="52" t="s">
        <v>53</v>
      </c>
      <c r="O28" s="53" t="s">
        <v>54</v>
      </c>
    </row>
    <row r="29" spans="1:15" ht="16" x14ac:dyDescent="0.2">
      <c r="A29" s="58" t="s">
        <v>40</v>
      </c>
      <c r="B29" s="36">
        <v>45</v>
      </c>
      <c r="C29" s="37">
        <f t="shared" ref="C29:C36" si="33">B29/H$11</f>
        <v>3.7499999999999999E-2</v>
      </c>
      <c r="D29" s="36">
        <v>81</v>
      </c>
      <c r="E29" s="37">
        <f t="shared" ref="E29:E36" si="34">D29/J$11</f>
        <v>4.0785498489425982E-2</v>
      </c>
      <c r="F29" s="36">
        <v>136</v>
      </c>
      <c r="G29" s="37">
        <f t="shared" ref="G29:G36" si="35">F29/L$11</f>
        <v>4.321576104226247E-2</v>
      </c>
      <c r="H29" s="36">
        <v>204</v>
      </c>
      <c r="I29" s="37">
        <f t="shared" ref="I29:I36" si="36">H29/N$11</f>
        <v>3.8137969713965228E-2</v>
      </c>
      <c r="J29" s="36">
        <v>155</v>
      </c>
      <c r="K29" s="37">
        <f t="shared" ref="K29:K36" si="37">J29/P$11</f>
        <v>2.6793431287813311E-2</v>
      </c>
      <c r="L29" s="38">
        <f>SUM(B29,D29,F29,H29,J29)</f>
        <v>621</v>
      </c>
      <c r="M29" s="45">
        <f t="shared" ref="M29:M36" si="38">L29/L$37</f>
        <v>3.555275662678193E-2</v>
      </c>
      <c r="N29" s="45">
        <v>0.28261341389357192</v>
      </c>
      <c r="O29" s="33">
        <f>L29/644555*100000/(L$35/1185415*100000)</f>
        <v>0.10218256164878164</v>
      </c>
    </row>
    <row r="30" spans="1:15" ht="16" x14ac:dyDescent="0.2">
      <c r="A30" s="55" t="s">
        <v>41</v>
      </c>
      <c r="B30" s="15">
        <v>73</v>
      </c>
      <c r="C30" s="16">
        <f t="shared" si="33"/>
        <v>6.0833333333333336E-2</v>
      </c>
      <c r="D30" s="15">
        <v>101</v>
      </c>
      <c r="E30" s="16">
        <f t="shared" si="34"/>
        <v>5.0855991943605239E-2</v>
      </c>
      <c r="F30" s="15">
        <v>164</v>
      </c>
      <c r="G30" s="16">
        <f t="shared" si="35"/>
        <v>5.21131236097871E-2</v>
      </c>
      <c r="H30" s="15">
        <v>254</v>
      </c>
      <c r="I30" s="16">
        <f t="shared" si="36"/>
        <v>4.7485511310525329E-2</v>
      </c>
      <c r="J30" s="15">
        <v>385</v>
      </c>
      <c r="K30" s="16">
        <f t="shared" si="37"/>
        <v>6.6551426101987901E-2</v>
      </c>
      <c r="L30" s="17">
        <f t="shared" ref="L30:L36" si="39">SUM(B30,D30,F30,H30,J30)</f>
        <v>977</v>
      </c>
      <c r="M30" s="46">
        <f t="shared" si="38"/>
        <v>5.5934047060170605E-2</v>
      </c>
      <c r="N30" s="46">
        <v>1.0323607496837587E-2</v>
      </c>
      <c r="O30" s="34">
        <f>L30/23545*100000/(L$35/1185415*100000)</f>
        <v>4.4008952986513483</v>
      </c>
    </row>
    <row r="31" spans="1:15" ht="16" x14ac:dyDescent="0.2">
      <c r="A31" s="55" t="s">
        <v>42</v>
      </c>
      <c r="B31" s="15">
        <v>25</v>
      </c>
      <c r="C31" s="16">
        <f t="shared" si="33"/>
        <v>2.0833333333333332E-2</v>
      </c>
      <c r="D31" s="15">
        <v>54</v>
      </c>
      <c r="E31" s="16">
        <f t="shared" si="34"/>
        <v>2.7190332326283987E-2</v>
      </c>
      <c r="F31" s="15">
        <v>86</v>
      </c>
      <c r="G31" s="16">
        <f t="shared" si="35"/>
        <v>2.7327613600254212E-2</v>
      </c>
      <c r="H31" s="15">
        <v>121</v>
      </c>
      <c r="I31" s="16">
        <f t="shared" si="36"/>
        <v>2.2621050663675455E-2</v>
      </c>
      <c r="J31" s="15">
        <v>156</v>
      </c>
      <c r="K31" s="16">
        <f t="shared" si="37"/>
        <v>2.6966292134831461E-2</v>
      </c>
      <c r="L31" s="17">
        <f t="shared" si="39"/>
        <v>442</v>
      </c>
      <c r="M31" s="46">
        <f t="shared" si="38"/>
        <v>2.5304860594263467E-2</v>
      </c>
      <c r="N31" s="46">
        <v>1.2770230127219992E-2</v>
      </c>
      <c r="O31" s="34">
        <f>L31/29125*100000/(L$35/1185415*100000)</f>
        <v>1.6095389942789471</v>
      </c>
    </row>
    <row r="32" spans="1:15" ht="16" x14ac:dyDescent="0.2">
      <c r="A32" s="55" t="s">
        <v>39</v>
      </c>
      <c r="B32" s="15">
        <v>228</v>
      </c>
      <c r="C32" s="16">
        <f t="shared" si="33"/>
        <v>0.19</v>
      </c>
      <c r="D32" s="15">
        <v>385</v>
      </c>
      <c r="E32" s="16">
        <f t="shared" si="34"/>
        <v>0.19385699899295064</v>
      </c>
      <c r="F32" s="15">
        <v>549</v>
      </c>
      <c r="G32" s="16">
        <f t="shared" si="35"/>
        <v>0.17445185891325071</v>
      </c>
      <c r="H32" s="15">
        <v>927</v>
      </c>
      <c r="I32" s="16">
        <f t="shared" si="36"/>
        <v>0.17330342120022435</v>
      </c>
      <c r="J32" s="17">
        <v>1080</v>
      </c>
      <c r="K32" s="16">
        <f t="shared" si="37"/>
        <v>0.18668971477960242</v>
      </c>
      <c r="L32" s="17">
        <f t="shared" si="39"/>
        <v>3169</v>
      </c>
      <c r="M32" s="46">
        <f t="shared" si="38"/>
        <v>0.18142783534665369</v>
      </c>
      <c r="N32" s="46">
        <v>2.8475968948061883E-2</v>
      </c>
      <c r="O32" s="34">
        <f>L32/64945*100000/(L$35/1185415*100000)</f>
        <v>5.1751350254022208</v>
      </c>
    </row>
    <row r="33" spans="1:15" ht="16" x14ac:dyDescent="0.2">
      <c r="A33" s="55" t="s">
        <v>43</v>
      </c>
      <c r="B33" s="15">
        <v>33</v>
      </c>
      <c r="C33" s="16">
        <f t="shared" si="33"/>
        <v>2.75E-2</v>
      </c>
      <c r="D33" s="15">
        <v>62</v>
      </c>
      <c r="E33" s="16">
        <f t="shared" si="34"/>
        <v>3.1218529707955689E-2</v>
      </c>
      <c r="F33" s="15">
        <v>86</v>
      </c>
      <c r="G33" s="16">
        <f t="shared" si="35"/>
        <v>2.7327613600254212E-2</v>
      </c>
      <c r="H33" s="15">
        <v>145</v>
      </c>
      <c r="I33" s="16">
        <f t="shared" si="36"/>
        <v>2.7107870630024303E-2</v>
      </c>
      <c r="J33" s="15">
        <v>156</v>
      </c>
      <c r="K33" s="16">
        <f t="shared" si="37"/>
        <v>2.6966292134831461E-2</v>
      </c>
      <c r="L33" s="17">
        <f t="shared" si="39"/>
        <v>482</v>
      </c>
      <c r="M33" s="46">
        <f t="shared" si="38"/>
        <v>2.7594893227228488E-2</v>
      </c>
      <c r="N33" s="46">
        <v>2.142767884351042E-2</v>
      </c>
      <c r="O33" s="34">
        <f>L33/48870*100000/(L$35/1185415*100000)</f>
        <v>1.0460437927216832</v>
      </c>
    </row>
    <row r="34" spans="1:15" ht="16" x14ac:dyDescent="0.2">
      <c r="A34" s="55" t="s">
        <v>44</v>
      </c>
      <c r="B34" s="15">
        <v>33</v>
      </c>
      <c r="C34" s="16">
        <f t="shared" si="33"/>
        <v>2.75E-2</v>
      </c>
      <c r="D34" s="15">
        <v>84</v>
      </c>
      <c r="E34" s="16">
        <f t="shared" si="34"/>
        <v>4.2296072507552872E-2</v>
      </c>
      <c r="F34" s="15">
        <v>106</v>
      </c>
      <c r="G34" s="16">
        <f t="shared" si="35"/>
        <v>3.3682872577057515E-2</v>
      </c>
      <c r="H34" s="15">
        <v>161</v>
      </c>
      <c r="I34" s="16">
        <f t="shared" si="36"/>
        <v>3.0099083940923536E-2</v>
      </c>
      <c r="J34" s="15">
        <v>183</v>
      </c>
      <c r="K34" s="16">
        <f t="shared" si="37"/>
        <v>3.163353500432152E-2</v>
      </c>
      <c r="L34" s="17">
        <f t="shared" si="39"/>
        <v>567</v>
      </c>
      <c r="M34" s="46">
        <f t="shared" si="38"/>
        <v>3.2461212572279158E-2</v>
      </c>
      <c r="N34" s="46">
        <v>0.11067021236947509</v>
      </c>
      <c r="O34" s="34">
        <f>L34/252405*100000/(L$35/1185415*100000)</f>
        <v>0.23824855352278723</v>
      </c>
    </row>
    <row r="35" spans="1:15" ht="16" x14ac:dyDescent="0.2">
      <c r="A35" s="55" t="s">
        <v>45</v>
      </c>
      <c r="B35" s="15">
        <v>762</v>
      </c>
      <c r="C35" s="16">
        <f t="shared" si="33"/>
        <v>0.63500000000000001</v>
      </c>
      <c r="D35" s="17">
        <v>1214</v>
      </c>
      <c r="E35" s="16">
        <f t="shared" si="34"/>
        <v>0.61127895266868082</v>
      </c>
      <c r="F35" s="17">
        <v>2014</v>
      </c>
      <c r="G35" s="16">
        <f t="shared" si="35"/>
        <v>0.63997457896409282</v>
      </c>
      <c r="H35" s="17">
        <v>3528</v>
      </c>
      <c r="I35" s="16">
        <f t="shared" si="36"/>
        <v>0.659562535053281</v>
      </c>
      <c r="J35" s="17">
        <v>3659</v>
      </c>
      <c r="K35" s="16">
        <f t="shared" si="37"/>
        <v>0.63249783923941227</v>
      </c>
      <c r="L35" s="17">
        <f t="shared" si="39"/>
        <v>11177</v>
      </c>
      <c r="M35" s="46">
        <f t="shared" si="38"/>
        <v>0.63989236846625064</v>
      </c>
      <c r="N35" s="46">
        <v>0.51976042390587085</v>
      </c>
      <c r="O35" s="34">
        <f>L35/1185415*100000/(L$35/1185415*100000)</f>
        <v>1</v>
      </c>
    </row>
    <row r="36" spans="1:15" ht="16" x14ac:dyDescent="0.2">
      <c r="A36" s="55" t="s">
        <v>7</v>
      </c>
      <c r="B36" s="15">
        <v>1</v>
      </c>
      <c r="C36" s="16">
        <f t="shared" si="33"/>
        <v>8.3333333333333339E-4</v>
      </c>
      <c r="D36" s="15">
        <v>5</v>
      </c>
      <c r="E36" s="16">
        <f t="shared" si="34"/>
        <v>2.5176233635448137E-3</v>
      </c>
      <c r="F36" s="15">
        <v>6</v>
      </c>
      <c r="G36" s="16">
        <f t="shared" si="35"/>
        <v>1.9065776930409914E-3</v>
      </c>
      <c r="H36" s="15">
        <v>9</v>
      </c>
      <c r="I36" s="16">
        <f t="shared" si="36"/>
        <v>1.6825574873808188E-3</v>
      </c>
      <c r="J36" s="15">
        <v>11</v>
      </c>
      <c r="K36" s="16">
        <f t="shared" si="37"/>
        <v>1.9014693171996544E-3</v>
      </c>
      <c r="L36" s="17">
        <f t="shared" si="39"/>
        <v>32</v>
      </c>
      <c r="M36" s="46">
        <f t="shared" si="38"/>
        <v>1.8320261063720159E-3</v>
      </c>
      <c r="N36" s="47">
        <v>1.3958464415452307E-2</v>
      </c>
      <c r="O36" s="35">
        <f>L36/31835*100000/(L$35/1185415*100000)</f>
        <v>0.1066081216757488</v>
      </c>
    </row>
    <row r="37" spans="1:15" ht="16" x14ac:dyDescent="0.15">
      <c r="A37" s="57" t="s">
        <v>50</v>
      </c>
      <c r="B37" s="40">
        <f>SUM(B29:B36)</f>
        <v>1200</v>
      </c>
      <c r="C37" s="41"/>
      <c r="D37" s="40">
        <f>SUM(D29:D36)</f>
        <v>1986</v>
      </c>
      <c r="E37" s="41"/>
      <c r="F37" s="40">
        <f>SUM(F29:F36)</f>
        <v>3147</v>
      </c>
      <c r="G37" s="41"/>
      <c r="H37" s="40">
        <f>SUM(H29:H36)</f>
        <v>5349</v>
      </c>
      <c r="I37" s="41"/>
      <c r="J37" s="40">
        <f>SUM(J29:J36)</f>
        <v>5785</v>
      </c>
      <c r="K37" s="41"/>
      <c r="L37" s="54">
        <f>SUM(L29:L36)</f>
        <v>17467</v>
      </c>
      <c r="M37" s="39"/>
      <c r="N37" s="39"/>
      <c r="O37" s="18"/>
    </row>
    <row r="40" spans="1:15" ht="15" x14ac:dyDescent="0.15">
      <c r="B40" s="100">
        <v>2016</v>
      </c>
      <c r="C40" s="100"/>
      <c r="D40" s="100">
        <v>2017</v>
      </c>
      <c r="E40" s="100"/>
      <c r="F40" s="100">
        <v>2018</v>
      </c>
      <c r="G40" s="100"/>
      <c r="H40" s="100">
        <v>2019</v>
      </c>
      <c r="I40" s="100"/>
      <c r="J40" s="100">
        <v>2020</v>
      </c>
      <c r="K40" s="100"/>
      <c r="L40" s="101" t="s">
        <v>67</v>
      </c>
      <c r="M40" s="102"/>
      <c r="N40" s="102"/>
      <c r="O40" s="103"/>
    </row>
    <row r="41" spans="1:15" ht="48" customHeight="1" x14ac:dyDescent="0.2">
      <c r="A41" s="56" t="s">
        <v>58</v>
      </c>
      <c r="B41" s="43" t="s">
        <v>49</v>
      </c>
      <c r="C41" s="44" t="s">
        <v>47</v>
      </c>
      <c r="D41" s="43" t="s">
        <v>49</v>
      </c>
      <c r="E41" s="44" t="s">
        <v>47</v>
      </c>
      <c r="F41" s="43" t="s">
        <v>49</v>
      </c>
      <c r="G41" s="44" t="s">
        <v>47</v>
      </c>
      <c r="H41" s="43" t="s">
        <v>49</v>
      </c>
      <c r="I41" s="44" t="s">
        <v>47</v>
      </c>
      <c r="J41" s="43" t="s">
        <v>49</v>
      </c>
      <c r="K41" s="44" t="s">
        <v>47</v>
      </c>
      <c r="L41" s="43" t="s">
        <v>49</v>
      </c>
      <c r="M41" s="49" t="s">
        <v>47</v>
      </c>
      <c r="N41" s="52" t="s">
        <v>52</v>
      </c>
      <c r="O41" s="53" t="s">
        <v>54</v>
      </c>
    </row>
    <row r="42" spans="1:15" ht="16" x14ac:dyDescent="0.2">
      <c r="A42" s="58" t="s">
        <v>40</v>
      </c>
      <c r="B42" s="36">
        <v>175</v>
      </c>
      <c r="C42" s="37">
        <f>B42/R$11</f>
        <v>2.465483234714004E-2</v>
      </c>
      <c r="D42" s="36">
        <v>135</v>
      </c>
      <c r="E42" s="37">
        <f t="shared" ref="E42:E49" si="40">D42/T$11</f>
        <v>2.2105780252169641E-2</v>
      </c>
      <c r="F42" s="38">
        <v>55</v>
      </c>
      <c r="G42" s="37">
        <f t="shared" ref="G42:G49" si="41">F42/V$11</f>
        <v>1.9791291831594098E-2</v>
      </c>
      <c r="H42" s="36">
        <v>13</v>
      </c>
      <c r="I42" s="37">
        <f t="shared" ref="I42:I49" si="42">H42/X$11</f>
        <v>2.4029574861367836E-2</v>
      </c>
      <c r="J42" s="36">
        <v>4</v>
      </c>
      <c r="K42" s="37">
        <f t="shared" ref="K42:K49" si="43">J42/Z$11</f>
        <v>0.125</v>
      </c>
      <c r="L42" s="38">
        <f>SUM(B42,D42,F42,H42,J42)</f>
        <v>382</v>
      </c>
      <c r="M42" s="45">
        <f>L42/L$50</f>
        <v>2.307181252642387E-2</v>
      </c>
      <c r="N42" s="48">
        <v>0.29915486339946462</v>
      </c>
      <c r="O42" s="33">
        <f>L42/725820*100000/(L$48/1179100*100000)</f>
        <v>5.4999720578743395E-2</v>
      </c>
    </row>
    <row r="43" spans="1:15" ht="16" x14ac:dyDescent="0.2">
      <c r="A43" s="55" t="s">
        <v>41</v>
      </c>
      <c r="B43" s="15">
        <v>368</v>
      </c>
      <c r="C43" s="16">
        <f t="shared" ref="C42:C49" si="44">B43/R$11</f>
        <v>5.1845590307128771E-2</v>
      </c>
      <c r="D43" s="15">
        <v>318</v>
      </c>
      <c r="E43" s="16">
        <f t="shared" si="40"/>
        <v>5.2071393482888487E-2</v>
      </c>
      <c r="F43" s="17">
        <v>134</v>
      </c>
      <c r="G43" s="16">
        <f t="shared" si="41"/>
        <v>4.8218783735156534E-2</v>
      </c>
      <c r="H43" s="15">
        <v>38</v>
      </c>
      <c r="I43" s="16">
        <f t="shared" si="42"/>
        <v>7.0240295748613679E-2</v>
      </c>
      <c r="J43" s="15">
        <v>2</v>
      </c>
      <c r="K43" s="16">
        <f t="shared" si="43"/>
        <v>6.25E-2</v>
      </c>
      <c r="L43" s="17">
        <f t="shared" ref="L43:L49" si="45">SUM(B43,D43,F43,H43,J43)</f>
        <v>860</v>
      </c>
      <c r="M43" s="46">
        <f t="shared" ref="M42:M49" si="46">L43/L$50</f>
        <v>5.1941776891949024E-2</v>
      </c>
      <c r="N43" s="25">
        <v>1.2294769467920462E-2</v>
      </c>
      <c r="O43" s="34">
        <f>L43/29830*100000/(L$48/1179100*100000)</f>
        <v>3.0128065656344623</v>
      </c>
    </row>
    <row r="44" spans="1:15" ht="16" x14ac:dyDescent="0.2">
      <c r="A44" s="55" t="s">
        <v>42</v>
      </c>
      <c r="B44" s="15">
        <v>152</v>
      </c>
      <c r="C44" s="16">
        <f t="shared" si="44"/>
        <v>2.1414482952944493E-2</v>
      </c>
      <c r="D44" s="15">
        <v>113</v>
      </c>
      <c r="E44" s="16">
        <f t="shared" si="40"/>
        <v>1.8503356803667922E-2</v>
      </c>
      <c r="F44" s="17">
        <v>63</v>
      </c>
      <c r="G44" s="16">
        <f t="shared" si="41"/>
        <v>2.2670025188916875E-2</v>
      </c>
      <c r="H44" s="15">
        <v>10</v>
      </c>
      <c r="I44" s="16">
        <f t="shared" si="42"/>
        <v>1.8484288354898338E-2</v>
      </c>
      <c r="J44" s="15">
        <v>0</v>
      </c>
      <c r="K44" s="16">
        <f t="shared" si="43"/>
        <v>0</v>
      </c>
      <c r="L44" s="17">
        <f t="shared" si="45"/>
        <v>338</v>
      </c>
      <c r="M44" s="46">
        <f t="shared" si="46"/>
        <v>2.0414326266835779E-2</v>
      </c>
      <c r="N44" s="25">
        <v>1.434527158333797E-2</v>
      </c>
      <c r="O44" s="34">
        <f>L44/34805*100000/(L$48/1179100*100000)</f>
        <v>1.0148482645928341</v>
      </c>
    </row>
    <row r="45" spans="1:15" ht="16" x14ac:dyDescent="0.2">
      <c r="A45" s="55" t="s">
        <v>39</v>
      </c>
      <c r="B45" s="17">
        <v>1205</v>
      </c>
      <c r="C45" s="16">
        <f t="shared" si="44"/>
        <v>0.16976613130459284</v>
      </c>
      <c r="D45" s="15">
        <v>913</v>
      </c>
      <c r="E45" s="16">
        <f t="shared" si="40"/>
        <v>0.14950057311282136</v>
      </c>
      <c r="F45" s="17">
        <v>461</v>
      </c>
      <c r="G45" s="16">
        <f t="shared" si="41"/>
        <v>0.16588700971572509</v>
      </c>
      <c r="H45" s="15">
        <v>84</v>
      </c>
      <c r="I45" s="16">
        <f t="shared" si="42"/>
        <v>0.15526802218114602</v>
      </c>
      <c r="J45" s="15">
        <v>3</v>
      </c>
      <c r="K45" s="16">
        <f t="shared" si="43"/>
        <v>9.375E-2</v>
      </c>
      <c r="L45" s="17">
        <f t="shared" si="45"/>
        <v>2666</v>
      </c>
      <c r="M45" s="46">
        <f t="shared" si="46"/>
        <v>0.16101950836504197</v>
      </c>
      <c r="N45" s="25">
        <v>2.5329368342308145E-2</v>
      </c>
      <c r="O45" s="34">
        <f>L45/61455*100000/(L$48/1179100*100000)</f>
        <v>4.5334514936769281</v>
      </c>
    </row>
    <row r="46" spans="1:15" ht="16" x14ac:dyDescent="0.2">
      <c r="A46" s="55" t="s">
        <v>43</v>
      </c>
      <c r="B46" s="15">
        <v>185</v>
      </c>
      <c r="C46" s="16">
        <f t="shared" si="44"/>
        <v>2.6063679909833756E-2</v>
      </c>
      <c r="D46" s="15">
        <v>191</v>
      </c>
      <c r="E46" s="16">
        <f t="shared" si="40"/>
        <v>3.1275585393810382E-2</v>
      </c>
      <c r="F46" s="17">
        <v>69</v>
      </c>
      <c r="G46" s="16">
        <f t="shared" si="41"/>
        <v>2.4829075206908961E-2</v>
      </c>
      <c r="H46" s="15">
        <v>26</v>
      </c>
      <c r="I46" s="16">
        <f t="shared" si="42"/>
        <v>4.8059149722735672E-2</v>
      </c>
      <c r="J46" s="15">
        <v>2</v>
      </c>
      <c r="K46" s="16">
        <f t="shared" si="43"/>
        <v>6.25E-2</v>
      </c>
      <c r="L46" s="17">
        <f t="shared" si="45"/>
        <v>473</v>
      </c>
      <c r="M46" s="46">
        <f t="shared" si="46"/>
        <v>2.8567977290571964E-2</v>
      </c>
      <c r="N46" s="25">
        <v>2.5735347153099348E-2</v>
      </c>
      <c r="O46" s="34">
        <f>L46/62440*100000/(L$48/1179100*100000)</f>
        <v>0.79163374309868351</v>
      </c>
    </row>
    <row r="47" spans="1:15" ht="16" x14ac:dyDescent="0.2">
      <c r="A47" s="55" t="s">
        <v>44</v>
      </c>
      <c r="B47" s="15">
        <v>205</v>
      </c>
      <c r="C47" s="16">
        <f t="shared" si="44"/>
        <v>2.8881375035221188E-2</v>
      </c>
      <c r="D47" s="15">
        <v>168</v>
      </c>
      <c r="E47" s="16">
        <f t="shared" si="40"/>
        <v>2.7509415424922221E-2</v>
      </c>
      <c r="F47" s="17">
        <v>107</v>
      </c>
      <c r="G47" s="16">
        <f t="shared" si="41"/>
        <v>3.8503058654192159E-2</v>
      </c>
      <c r="H47" s="15">
        <v>32</v>
      </c>
      <c r="I47" s="16">
        <f t="shared" si="42"/>
        <v>5.9149722735674676E-2</v>
      </c>
      <c r="J47" s="15">
        <v>5</v>
      </c>
      <c r="K47" s="16">
        <f t="shared" si="43"/>
        <v>0.15625</v>
      </c>
      <c r="L47" s="17">
        <f t="shared" si="45"/>
        <v>517</v>
      </c>
      <c r="M47" s="46">
        <f t="shared" si="46"/>
        <v>3.1225463550160055E-2</v>
      </c>
      <c r="N47" s="25">
        <v>0.11994097851197431</v>
      </c>
      <c r="O47" s="34">
        <f>L47/291005*100000/(L$48/1179100*100000)</f>
        <v>0.18565905829931353</v>
      </c>
    </row>
    <row r="48" spans="1:15" ht="16" x14ac:dyDescent="0.2">
      <c r="A48" s="55" t="s">
        <v>45</v>
      </c>
      <c r="B48" s="17">
        <v>4795</v>
      </c>
      <c r="C48" s="16">
        <f t="shared" si="44"/>
        <v>0.67554240631163709</v>
      </c>
      <c r="D48" s="17">
        <v>4257</v>
      </c>
      <c r="E48" s="16">
        <f t="shared" si="40"/>
        <v>0.69706893728508268</v>
      </c>
      <c r="F48" s="17">
        <v>1880</v>
      </c>
      <c r="G48" s="16">
        <f t="shared" si="41"/>
        <v>0.67650233897085288</v>
      </c>
      <c r="H48" s="15">
        <v>335</v>
      </c>
      <c r="I48" s="16">
        <f t="shared" si="42"/>
        <v>0.61922365988909422</v>
      </c>
      <c r="J48" s="15">
        <v>16</v>
      </c>
      <c r="K48" s="16">
        <f t="shared" si="43"/>
        <v>0.5</v>
      </c>
      <c r="L48" s="17">
        <f t="shared" si="45"/>
        <v>11283</v>
      </c>
      <c r="M48" s="46">
        <f t="shared" si="46"/>
        <v>0.68146403333937311</v>
      </c>
      <c r="N48" s="25">
        <v>0.48597930538468037</v>
      </c>
      <c r="O48" s="34">
        <f>L48/1179100*100000/(L$48/1179100*100000)</f>
        <v>1</v>
      </c>
    </row>
    <row r="49" spans="1:17" ht="16" x14ac:dyDescent="0.2">
      <c r="A49" s="55" t="s">
        <v>7</v>
      </c>
      <c r="B49" s="15">
        <v>13</v>
      </c>
      <c r="C49" s="16">
        <f t="shared" si="44"/>
        <v>1.8315018315018315E-3</v>
      </c>
      <c r="D49" s="15">
        <v>12</v>
      </c>
      <c r="E49" s="16">
        <f t="shared" si="40"/>
        <v>1.9649582446373015E-3</v>
      </c>
      <c r="F49" s="17">
        <v>10</v>
      </c>
      <c r="G49" s="16">
        <f t="shared" si="41"/>
        <v>3.5984166966534724E-3</v>
      </c>
      <c r="H49" s="15">
        <v>3</v>
      </c>
      <c r="I49" s="16">
        <f t="shared" si="42"/>
        <v>5.5452865064695009E-3</v>
      </c>
      <c r="J49" s="15">
        <v>0</v>
      </c>
      <c r="K49" s="16">
        <f t="shared" si="43"/>
        <v>0</v>
      </c>
      <c r="L49" s="17">
        <f t="shared" si="45"/>
        <v>38</v>
      </c>
      <c r="M49" s="46">
        <f t="shared" si="46"/>
        <v>2.2951017696442593E-3</v>
      </c>
      <c r="N49" s="26">
        <v>1.722009615721478E-2</v>
      </c>
      <c r="O49" s="35">
        <f>L49/41780*100000/(L$48/1179100*100000)</f>
        <v>9.5047612477576024E-2</v>
      </c>
    </row>
    <row r="50" spans="1:17" ht="16" x14ac:dyDescent="0.15">
      <c r="A50" s="57" t="s">
        <v>50</v>
      </c>
      <c r="B50" s="40">
        <f>SUM(B42:B49)</f>
        <v>7098</v>
      </c>
      <c r="C50" s="41"/>
      <c r="D50" s="40">
        <f>SUM(D42:D49)</f>
        <v>6107</v>
      </c>
      <c r="E50" s="41"/>
      <c r="F50" s="40">
        <f>SUM(F42:F49)</f>
        <v>2779</v>
      </c>
      <c r="G50" s="41"/>
      <c r="H50" s="40">
        <f>SUM(H42:H49)</f>
        <v>541</v>
      </c>
      <c r="I50" s="41"/>
      <c r="J50" s="40">
        <f>SUM(J42:J49)</f>
        <v>32</v>
      </c>
      <c r="K50" s="41"/>
      <c r="L50" s="54">
        <f>SUM(L42:L49)</f>
        <v>16557</v>
      </c>
      <c r="M50" s="39"/>
      <c r="N50" s="39"/>
      <c r="O50" s="18"/>
    </row>
    <row r="52" spans="1:17" ht="15" x14ac:dyDescent="0.2">
      <c r="B52" s="97" t="s">
        <v>71</v>
      </c>
      <c r="C52" s="97"/>
      <c r="D52" s="97"/>
      <c r="E52" s="97"/>
      <c r="F52" s="97"/>
      <c r="G52" s="97"/>
      <c r="H52" s="97"/>
      <c r="I52" s="97"/>
      <c r="J52" s="97"/>
      <c r="K52" s="97"/>
    </row>
    <row r="53" spans="1:17" ht="15" x14ac:dyDescent="0.2">
      <c r="A53" s="2"/>
      <c r="B53" s="97" t="s">
        <v>72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ht="15" x14ac:dyDescent="0.15">
      <c r="A54" s="2"/>
      <c r="B54" s="96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7" ht="15" x14ac:dyDescent="0.15">
      <c r="A55" s="3"/>
      <c r="B55" s="5"/>
      <c r="C55" s="22"/>
      <c r="D55" s="5"/>
      <c r="E55" s="22"/>
      <c r="F55" s="6"/>
      <c r="G55" s="22"/>
    </row>
    <row r="56" spans="1:17" ht="15" x14ac:dyDescent="0.15">
      <c r="A56" s="3"/>
      <c r="B56" s="5"/>
      <c r="C56" s="22"/>
      <c r="D56" s="5"/>
      <c r="E56" s="22"/>
      <c r="F56" s="6"/>
      <c r="G56" s="22"/>
    </row>
    <row r="57" spans="1:17" ht="15" x14ac:dyDescent="0.15">
      <c r="A57" s="3"/>
      <c r="B57" s="5"/>
      <c r="C57" s="22"/>
      <c r="D57" s="5"/>
      <c r="E57" s="22"/>
      <c r="F57" s="6"/>
      <c r="G57" s="22"/>
    </row>
    <row r="58" spans="1:17" ht="15" x14ac:dyDescent="0.15">
      <c r="A58" s="3"/>
      <c r="B58" s="5"/>
      <c r="C58" s="22"/>
      <c r="D58" s="5"/>
      <c r="E58" s="22"/>
      <c r="F58" s="6"/>
      <c r="G58" s="22"/>
    </row>
    <row r="59" spans="1:17" ht="15" x14ac:dyDescent="0.15">
      <c r="A59" s="3"/>
      <c r="B59" s="5"/>
      <c r="C59" s="22"/>
      <c r="D59" s="5"/>
      <c r="E59" s="22"/>
      <c r="F59" s="6"/>
      <c r="G59" s="22"/>
    </row>
    <row r="60" spans="1:17" ht="15" x14ac:dyDescent="0.15">
      <c r="A60" s="3"/>
      <c r="B60" s="5"/>
      <c r="C60" s="22"/>
      <c r="D60" s="5"/>
      <c r="E60" s="22"/>
      <c r="F60" s="6"/>
      <c r="G60" s="22"/>
    </row>
    <row r="61" spans="1:17" ht="15" x14ac:dyDescent="0.15">
      <c r="A61" s="3"/>
      <c r="B61" s="5"/>
      <c r="C61" s="22"/>
      <c r="D61" s="5"/>
      <c r="E61" s="22"/>
      <c r="F61" s="6"/>
      <c r="G61" s="22"/>
    </row>
    <row r="62" spans="1:17" ht="15" x14ac:dyDescent="0.15">
      <c r="A62" s="3"/>
      <c r="B62" s="5"/>
      <c r="C62" s="22"/>
      <c r="D62" s="5"/>
      <c r="E62" s="22"/>
      <c r="F62" s="6"/>
      <c r="G62" s="22"/>
    </row>
    <row r="63" spans="1:17" ht="15" x14ac:dyDescent="0.15">
      <c r="A63" s="3"/>
      <c r="B63" s="5"/>
      <c r="C63" s="22"/>
      <c r="D63" s="5"/>
      <c r="E63" s="22"/>
      <c r="F63" s="6"/>
      <c r="G63" s="22"/>
    </row>
    <row r="64" spans="1:17" ht="15" x14ac:dyDescent="0.15">
      <c r="A64" s="23"/>
      <c r="B64" s="6"/>
      <c r="C64" s="6"/>
      <c r="D64" s="6"/>
      <c r="E64" s="6"/>
      <c r="F64" s="24"/>
    </row>
  </sheetData>
  <sortState xmlns:xlrd2="http://schemas.microsoft.com/office/spreadsheetml/2017/richdata2" ref="A3:AD9">
    <sortCondition ref="A3:A9"/>
  </sortState>
  <mergeCells count="36">
    <mergeCell ref="AD1:AE1"/>
    <mergeCell ref="AF1:AG1"/>
    <mergeCell ref="B14:C14"/>
    <mergeCell ref="D14:E14"/>
    <mergeCell ref="F14:G14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AB1:AC1"/>
    <mergeCell ref="L27:O27"/>
    <mergeCell ref="H14:K14"/>
    <mergeCell ref="H27:I27"/>
    <mergeCell ref="J27:K27"/>
    <mergeCell ref="B54:M54"/>
    <mergeCell ref="B53:Q53"/>
    <mergeCell ref="A1:A2"/>
    <mergeCell ref="L1:M1"/>
    <mergeCell ref="Z1:AA1"/>
    <mergeCell ref="B27:C27"/>
    <mergeCell ref="D27:E27"/>
    <mergeCell ref="F27:G27"/>
    <mergeCell ref="L40:O40"/>
    <mergeCell ref="B52:K52"/>
    <mergeCell ref="J40:K40"/>
    <mergeCell ref="B40:C40"/>
    <mergeCell ref="D40:E40"/>
    <mergeCell ref="F40:G40"/>
    <mergeCell ref="H40:I40"/>
  </mergeCells>
  <hyperlinks>
    <hyperlink ref="B53:J53" r:id="rId1" display="Source for calculation method for Likelihood vs. White Person: Miranda Nicols Berticevic Watters, prepared for Black Lives Matter Edmonton" xr:uid="{67CD2DA6-441D-6E4C-AF53-2B53F97992BD}"/>
    <hyperlink ref="B53" r:id="rId2" display="Source for calculation method for Likelihood vs. White Person: Miranda Nicols Berticevic Watters, prepared for Black Lives Matter Edmonton" xr:uid="{BD09BD99-90BA-1F41-B67B-A6DE1410654D}"/>
    <hyperlink ref="B52" location="Census!A1" display="See &quot;Census&quot; worksheet for census figures" xr:uid="{71D48DBF-B454-544E-9E34-7CFAB99318AE}"/>
  </hyperlinks>
  <pageMargins left="0.7" right="0.7" top="0.75" bottom="0.75" header="0.3" footer="0.3"/>
  <ignoredErrors>
    <ignoredError sqref="AD11 B11 D11 F11 H11 J11 L11 N11 P11 R11 T11 V11 X11 Z11 AB11" formulaRange="1"/>
    <ignoredError sqref="AF3:A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baseColWidth="10" defaultColWidth="9" defaultRowHeight="15" x14ac:dyDescent="0.15"/>
  <cols>
    <col min="1" max="1" width="29" style="83" customWidth="1"/>
    <col min="2" max="2" width="7.19921875" style="7" bestFit="1" customWidth="1"/>
    <col min="3" max="3" width="8.3984375" style="7" bestFit="1" customWidth="1"/>
    <col min="4" max="13" width="7.19921875" style="7" bestFit="1" customWidth="1"/>
    <col min="14" max="14" width="6.19921875" style="7" bestFit="1" customWidth="1"/>
    <col min="15" max="15" width="8.3984375" style="7" bestFit="1" customWidth="1"/>
    <col min="16" max="16" width="6.19921875" style="7" bestFit="1" customWidth="1"/>
    <col min="17" max="17" width="9.796875" style="24" customWidth="1"/>
    <col min="18" max="18" width="9.59765625" style="7" bestFit="1" customWidth="1"/>
    <col min="19" max="16384" width="9" style="1"/>
  </cols>
  <sheetData>
    <row r="1" spans="1:18" ht="15" customHeight="1" x14ac:dyDescent="0.15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x14ac:dyDescent="0.2">
      <c r="A2" s="80"/>
      <c r="B2" s="71">
        <v>2008</v>
      </c>
      <c r="C2" s="71">
        <v>2009</v>
      </c>
      <c r="D2" s="71">
        <v>2010</v>
      </c>
      <c r="E2" s="71">
        <v>2011</v>
      </c>
      <c r="F2" s="71">
        <v>2012</v>
      </c>
      <c r="G2" s="71">
        <v>2013</v>
      </c>
      <c r="H2" s="71">
        <v>2014</v>
      </c>
      <c r="I2" s="71">
        <v>2015</v>
      </c>
      <c r="J2" s="71">
        <v>2016</v>
      </c>
      <c r="K2" s="71">
        <v>2017</v>
      </c>
      <c r="L2" s="71">
        <v>2018</v>
      </c>
      <c r="M2" s="71">
        <v>2019</v>
      </c>
      <c r="N2" s="71">
        <v>2020</v>
      </c>
      <c r="O2" s="71">
        <v>2021</v>
      </c>
      <c r="P2" s="13">
        <v>2022</v>
      </c>
      <c r="Q2" s="89" t="s">
        <v>46</v>
      </c>
      <c r="R2" s="71" t="s">
        <v>47</v>
      </c>
    </row>
    <row r="3" spans="1:18" ht="16" x14ac:dyDescent="0.15">
      <c r="A3" s="81" t="s">
        <v>74</v>
      </c>
      <c r="B3" s="72">
        <v>748</v>
      </c>
      <c r="C3" s="73">
        <v>1481</v>
      </c>
      <c r="D3" s="74">
        <v>957</v>
      </c>
      <c r="E3" s="73">
        <v>1160</v>
      </c>
      <c r="F3" s="73">
        <v>1891</v>
      </c>
      <c r="G3" s="73">
        <v>3118</v>
      </c>
      <c r="H3" s="73">
        <v>5339</v>
      </c>
      <c r="I3" s="73">
        <v>5703</v>
      </c>
      <c r="J3" s="73">
        <v>7057</v>
      </c>
      <c r="K3" s="73">
        <v>6071</v>
      </c>
      <c r="L3" s="73">
        <v>2749</v>
      </c>
      <c r="M3" s="74">
        <v>532</v>
      </c>
      <c r="N3" s="74">
        <v>30</v>
      </c>
      <c r="O3" s="74">
        <v>0</v>
      </c>
      <c r="P3" s="75">
        <v>9</v>
      </c>
      <c r="Q3" s="90">
        <f>SUM(B3:P3)</f>
        <v>36845</v>
      </c>
      <c r="R3" s="78"/>
    </row>
    <row r="4" spans="1:18" x14ac:dyDescent="0.15">
      <c r="A4" s="81"/>
      <c r="B4" s="5"/>
      <c r="C4" s="6"/>
      <c r="D4" s="5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R4" s="8"/>
    </row>
    <row r="5" spans="1:18" ht="16" x14ac:dyDescent="0.2">
      <c r="A5" s="81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33" customHeight="1" x14ac:dyDescent="0.15">
      <c r="A6" s="84" t="s">
        <v>0</v>
      </c>
      <c r="B6" s="85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3</v>
      </c>
      <c r="O6" s="86">
        <v>0</v>
      </c>
      <c r="P6" s="87">
        <v>1</v>
      </c>
      <c r="Q6" s="91">
        <f>SUM(B6:P6)</f>
        <v>4</v>
      </c>
      <c r="R6" s="88">
        <f>Q6/36845</f>
        <v>1.085628986293934E-4</v>
      </c>
    </row>
    <row r="7" spans="1:18" ht="16" x14ac:dyDescent="0.15">
      <c r="A7" s="79" t="s">
        <v>1</v>
      </c>
      <c r="B7" s="15">
        <v>4</v>
      </c>
      <c r="C7" s="5">
        <v>2</v>
      </c>
      <c r="D7" s="5">
        <v>3</v>
      </c>
      <c r="E7" s="5">
        <v>2</v>
      </c>
      <c r="F7" s="5">
        <v>9</v>
      </c>
      <c r="G7" s="5">
        <v>18</v>
      </c>
      <c r="H7" s="5">
        <v>31</v>
      </c>
      <c r="I7" s="5">
        <v>16</v>
      </c>
      <c r="J7" s="6">
        <v>15</v>
      </c>
      <c r="K7" s="6">
        <v>10</v>
      </c>
      <c r="L7" s="6">
        <v>9</v>
      </c>
      <c r="M7" s="6">
        <v>1</v>
      </c>
      <c r="N7" s="5">
        <v>0</v>
      </c>
      <c r="O7" s="5">
        <v>0</v>
      </c>
      <c r="P7" s="62">
        <v>0</v>
      </c>
      <c r="Q7" s="24">
        <f t="shared" ref="Q7:Q24" si="0">SUM(B7:P7)</f>
        <v>120</v>
      </c>
      <c r="R7" s="66">
        <f t="shared" ref="R7:R24" si="1">Q7/36845</f>
        <v>3.2568869588818022E-3</v>
      </c>
    </row>
    <row r="8" spans="1:18" ht="16" x14ac:dyDescent="0.15">
      <c r="A8" s="79" t="s">
        <v>2</v>
      </c>
      <c r="B8" s="1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3</v>
      </c>
      <c r="M8" s="6">
        <v>10</v>
      </c>
      <c r="N8" s="5">
        <v>0</v>
      </c>
      <c r="O8" s="5">
        <v>0</v>
      </c>
      <c r="P8" s="62">
        <v>1</v>
      </c>
      <c r="Q8" s="24">
        <f t="shared" si="0"/>
        <v>14</v>
      </c>
      <c r="R8" s="66">
        <f t="shared" si="1"/>
        <v>3.7997014520287694E-4</v>
      </c>
    </row>
    <row r="9" spans="1:18" ht="16" x14ac:dyDescent="0.15">
      <c r="A9" s="79" t="s">
        <v>3</v>
      </c>
      <c r="B9" s="1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v>0</v>
      </c>
      <c r="K9" s="6">
        <v>0</v>
      </c>
      <c r="L9" s="6">
        <v>0</v>
      </c>
      <c r="M9" s="6">
        <v>0</v>
      </c>
      <c r="N9" s="5">
        <v>3</v>
      </c>
      <c r="O9" s="5">
        <v>0</v>
      </c>
      <c r="P9" s="62">
        <v>2</v>
      </c>
      <c r="Q9" s="24">
        <f t="shared" si="0"/>
        <v>5</v>
      </c>
      <c r="R9" s="66">
        <f t="shared" si="1"/>
        <v>1.3570362328674176E-4</v>
      </c>
    </row>
    <row r="10" spans="1:18" ht="16" x14ac:dyDescent="0.15">
      <c r="A10" s="79" t="s">
        <v>4</v>
      </c>
      <c r="B10" s="15">
        <v>2</v>
      </c>
      <c r="C10" s="5">
        <v>7</v>
      </c>
      <c r="D10" s="5">
        <v>11</v>
      </c>
      <c r="E10" s="5">
        <v>19</v>
      </c>
      <c r="F10" s="5">
        <v>22</v>
      </c>
      <c r="G10" s="5">
        <v>35</v>
      </c>
      <c r="H10" s="5">
        <v>28</v>
      </c>
      <c r="I10" s="5">
        <v>39</v>
      </c>
      <c r="J10" s="6">
        <v>54</v>
      </c>
      <c r="K10" s="6">
        <v>30</v>
      </c>
      <c r="L10" s="6">
        <v>10</v>
      </c>
      <c r="M10" s="6">
        <v>3</v>
      </c>
      <c r="N10" s="5">
        <v>0</v>
      </c>
      <c r="O10" s="5">
        <v>0</v>
      </c>
      <c r="P10" s="62">
        <v>0</v>
      </c>
      <c r="Q10" s="24">
        <f t="shared" si="0"/>
        <v>260</v>
      </c>
      <c r="R10" s="66">
        <f t="shared" si="1"/>
        <v>7.0565884109105711E-3</v>
      </c>
    </row>
    <row r="11" spans="1:18" ht="16" x14ac:dyDescent="0.15">
      <c r="A11" s="79" t="s">
        <v>5</v>
      </c>
      <c r="B11" s="1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6">
        <v>5</v>
      </c>
      <c r="K11" s="6">
        <v>2</v>
      </c>
      <c r="L11" s="6">
        <v>0</v>
      </c>
      <c r="M11" s="6">
        <v>0</v>
      </c>
      <c r="N11" s="5">
        <v>0</v>
      </c>
      <c r="O11" s="5">
        <v>0</v>
      </c>
      <c r="P11" s="62">
        <v>0</v>
      </c>
      <c r="Q11" s="24">
        <f t="shared" si="0"/>
        <v>8</v>
      </c>
      <c r="R11" s="66">
        <f t="shared" si="1"/>
        <v>2.171257972587868E-4</v>
      </c>
    </row>
    <row r="12" spans="1:18" ht="16" x14ac:dyDescent="0.15">
      <c r="A12" s="79" t="s">
        <v>6</v>
      </c>
      <c r="B12" s="15">
        <v>7</v>
      </c>
      <c r="C12" s="5">
        <v>15</v>
      </c>
      <c r="D12" s="5">
        <v>15</v>
      </c>
      <c r="E12" s="5">
        <v>18</v>
      </c>
      <c r="F12" s="5">
        <v>32</v>
      </c>
      <c r="G12" s="5">
        <v>45</v>
      </c>
      <c r="H12" s="5">
        <v>70</v>
      </c>
      <c r="I12" s="5">
        <v>76</v>
      </c>
      <c r="J12" s="6">
        <v>99</v>
      </c>
      <c r="K12" s="6">
        <v>74</v>
      </c>
      <c r="L12" s="6">
        <v>23</v>
      </c>
      <c r="M12" s="6">
        <v>1</v>
      </c>
      <c r="N12" s="5">
        <v>0</v>
      </c>
      <c r="O12" s="5">
        <v>0</v>
      </c>
      <c r="P12" s="62">
        <v>0</v>
      </c>
      <c r="Q12" s="24">
        <f t="shared" si="0"/>
        <v>475</v>
      </c>
      <c r="R12" s="66">
        <f t="shared" si="1"/>
        <v>1.2891844212240466E-2</v>
      </c>
    </row>
    <row r="13" spans="1:18" ht="16" x14ac:dyDescent="0.15">
      <c r="A13" s="79" t="s">
        <v>7</v>
      </c>
      <c r="B13" s="15">
        <v>124</v>
      </c>
      <c r="C13" s="5">
        <v>448</v>
      </c>
      <c r="D13" s="5">
        <v>226</v>
      </c>
      <c r="E13" s="5">
        <v>419</v>
      </c>
      <c r="F13" s="5">
        <v>713</v>
      </c>
      <c r="G13" s="6">
        <v>1446</v>
      </c>
      <c r="H13" s="6">
        <v>2331</v>
      </c>
      <c r="I13" s="6">
        <v>2101</v>
      </c>
      <c r="J13" s="6">
        <v>2403</v>
      </c>
      <c r="K13" s="6">
        <v>2106</v>
      </c>
      <c r="L13" s="6">
        <v>1084</v>
      </c>
      <c r="M13" s="6">
        <v>253</v>
      </c>
      <c r="N13" s="5">
        <v>0</v>
      </c>
      <c r="O13" s="5">
        <v>0</v>
      </c>
      <c r="P13" s="62">
        <v>0</v>
      </c>
      <c r="Q13" s="24">
        <f t="shared" si="0"/>
        <v>13654</v>
      </c>
      <c r="R13" s="66">
        <f t="shared" si="1"/>
        <v>0.37057945447143437</v>
      </c>
    </row>
    <row r="14" spans="1:18" ht="16" x14ac:dyDescent="0.15">
      <c r="A14" s="79" t="s">
        <v>8</v>
      </c>
      <c r="B14" s="1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>
        <v>0</v>
      </c>
      <c r="K14" s="6">
        <v>0</v>
      </c>
      <c r="L14" s="6">
        <v>0</v>
      </c>
      <c r="M14" s="6">
        <v>0</v>
      </c>
      <c r="N14" s="5">
        <v>24</v>
      </c>
      <c r="O14" s="5">
        <v>0</v>
      </c>
      <c r="P14" s="62">
        <v>2</v>
      </c>
      <c r="Q14" s="24">
        <f t="shared" si="0"/>
        <v>26</v>
      </c>
      <c r="R14" s="66">
        <f t="shared" si="1"/>
        <v>7.0565884109105711E-4</v>
      </c>
    </row>
    <row r="15" spans="1:18" ht="16" x14ac:dyDescent="0.15">
      <c r="A15" s="79" t="s">
        <v>9</v>
      </c>
      <c r="B15" s="15">
        <v>0</v>
      </c>
      <c r="C15" s="5">
        <v>0</v>
      </c>
      <c r="D15" s="5">
        <v>0</v>
      </c>
      <c r="E15" s="5">
        <v>3</v>
      </c>
      <c r="F15" s="5">
        <v>4</v>
      </c>
      <c r="G15" s="5">
        <v>8</v>
      </c>
      <c r="H15" s="5">
        <v>29</v>
      </c>
      <c r="I15" s="5">
        <v>41</v>
      </c>
      <c r="J15" s="6">
        <v>36</v>
      </c>
      <c r="K15" s="6">
        <v>25</v>
      </c>
      <c r="L15" s="6">
        <v>36</v>
      </c>
      <c r="M15" s="6">
        <v>20</v>
      </c>
      <c r="N15" s="5">
        <v>0</v>
      </c>
      <c r="O15" s="5">
        <v>0</v>
      </c>
      <c r="P15" s="62">
        <v>0</v>
      </c>
      <c r="Q15" s="24">
        <f t="shared" si="0"/>
        <v>202</v>
      </c>
      <c r="R15" s="66">
        <f t="shared" si="1"/>
        <v>5.482426380784367E-3</v>
      </c>
    </row>
    <row r="16" spans="1:18" ht="16" x14ac:dyDescent="0.15">
      <c r="A16" s="79" t="s">
        <v>10</v>
      </c>
      <c r="B16" s="15">
        <v>96</v>
      </c>
      <c r="C16" s="5">
        <v>323</v>
      </c>
      <c r="D16" s="5">
        <v>242</v>
      </c>
      <c r="E16" s="5">
        <v>266</v>
      </c>
      <c r="F16" s="5">
        <v>426</v>
      </c>
      <c r="G16" s="5">
        <v>735</v>
      </c>
      <c r="H16" s="6">
        <v>1764</v>
      </c>
      <c r="I16" s="6">
        <v>2231</v>
      </c>
      <c r="J16" s="6">
        <v>3012</v>
      </c>
      <c r="K16" s="6">
        <v>2538</v>
      </c>
      <c r="L16" s="6">
        <v>1137</v>
      </c>
      <c r="M16" s="6">
        <v>149</v>
      </c>
      <c r="N16" s="5">
        <v>0</v>
      </c>
      <c r="O16" s="5">
        <v>0</v>
      </c>
      <c r="P16" s="62">
        <v>3</v>
      </c>
      <c r="Q16" s="24">
        <f t="shared" si="0"/>
        <v>12922</v>
      </c>
      <c r="R16" s="66">
        <f t="shared" si="1"/>
        <v>0.35071244402225538</v>
      </c>
    </row>
    <row r="17" spans="1:19" ht="16" x14ac:dyDescent="0.15">
      <c r="A17" s="79" t="s">
        <v>11</v>
      </c>
      <c r="B17" s="15">
        <v>15</v>
      </c>
      <c r="C17" s="5">
        <v>23</v>
      </c>
      <c r="D17" s="5">
        <v>14</v>
      </c>
      <c r="E17" s="5">
        <v>5</v>
      </c>
      <c r="F17" s="5">
        <v>9</v>
      </c>
      <c r="G17" s="5">
        <v>10</v>
      </c>
      <c r="H17" s="5">
        <v>12</v>
      </c>
      <c r="I17" s="5">
        <v>26</v>
      </c>
      <c r="J17" s="6">
        <v>34</v>
      </c>
      <c r="K17" s="6">
        <v>15</v>
      </c>
      <c r="L17" s="6">
        <v>3</v>
      </c>
      <c r="M17" s="6">
        <v>0</v>
      </c>
      <c r="N17" s="5">
        <v>0</v>
      </c>
      <c r="O17" s="5">
        <v>0</v>
      </c>
      <c r="P17" s="62">
        <v>0</v>
      </c>
      <c r="Q17" s="24">
        <f t="shared" si="0"/>
        <v>166</v>
      </c>
      <c r="R17" s="66">
        <f t="shared" si="1"/>
        <v>4.5053602931198261E-3</v>
      </c>
      <c r="S17" s="61"/>
    </row>
    <row r="18" spans="1:19" ht="16" x14ac:dyDescent="0.15">
      <c r="A18" s="79" t="s">
        <v>12</v>
      </c>
      <c r="B18" s="15">
        <v>32</v>
      </c>
      <c r="C18" s="5">
        <v>88</v>
      </c>
      <c r="D18" s="5">
        <v>76</v>
      </c>
      <c r="E18" s="5">
        <v>224</v>
      </c>
      <c r="F18" s="5">
        <v>395</v>
      </c>
      <c r="G18" s="5">
        <v>408</v>
      </c>
      <c r="H18" s="5">
        <v>640</v>
      </c>
      <c r="I18" s="5">
        <v>736</v>
      </c>
      <c r="J18" s="6">
        <v>956</v>
      </c>
      <c r="K18" s="6">
        <v>732</v>
      </c>
      <c r="L18" s="6">
        <v>247</v>
      </c>
      <c r="M18" s="6">
        <v>27</v>
      </c>
      <c r="N18" s="5">
        <v>0</v>
      </c>
      <c r="O18" s="5">
        <v>0</v>
      </c>
      <c r="P18" s="62">
        <v>0</v>
      </c>
      <c r="Q18" s="24">
        <f t="shared" si="0"/>
        <v>4561</v>
      </c>
      <c r="R18" s="66">
        <f t="shared" si="1"/>
        <v>0.12378884516216583</v>
      </c>
    </row>
    <row r="19" spans="1:19" ht="16" x14ac:dyDescent="0.15">
      <c r="A19" s="79" t="s">
        <v>13</v>
      </c>
      <c r="B19" s="15">
        <v>22</v>
      </c>
      <c r="C19" s="5">
        <v>10</v>
      </c>
      <c r="D19" s="5">
        <v>15</v>
      </c>
      <c r="E19" s="5">
        <v>15</v>
      </c>
      <c r="F19" s="5">
        <v>16</v>
      </c>
      <c r="G19" s="5">
        <v>27</v>
      </c>
      <c r="H19" s="5">
        <v>53</v>
      </c>
      <c r="I19" s="5">
        <v>44</v>
      </c>
      <c r="J19" s="6">
        <v>49</v>
      </c>
      <c r="K19" s="6">
        <v>39</v>
      </c>
      <c r="L19" s="6">
        <v>17</v>
      </c>
      <c r="M19" s="6">
        <v>3</v>
      </c>
      <c r="N19" s="5">
        <v>0</v>
      </c>
      <c r="O19" s="5">
        <v>0</v>
      </c>
      <c r="P19" s="62">
        <v>0</v>
      </c>
      <c r="Q19" s="24">
        <f t="shared" si="0"/>
        <v>310</v>
      </c>
      <c r="R19" s="66">
        <f t="shared" si="1"/>
        <v>8.413624643777989E-3</v>
      </c>
    </row>
    <row r="20" spans="1:19" ht="16" x14ac:dyDescent="0.15">
      <c r="A20" s="79" t="s">
        <v>14</v>
      </c>
      <c r="B20" s="15">
        <v>0</v>
      </c>
      <c r="C20" s="5">
        <v>2</v>
      </c>
      <c r="D20" s="5">
        <v>2</v>
      </c>
      <c r="E20" s="5">
        <v>2</v>
      </c>
      <c r="F20" s="5">
        <v>2</v>
      </c>
      <c r="G20" s="5">
        <v>1</v>
      </c>
      <c r="H20" s="5">
        <v>2</v>
      </c>
      <c r="I20" s="5">
        <v>4</v>
      </c>
      <c r="J20" s="6">
        <v>8</v>
      </c>
      <c r="K20" s="6">
        <v>8</v>
      </c>
      <c r="L20" s="6">
        <v>1</v>
      </c>
      <c r="M20" s="6">
        <v>0</v>
      </c>
      <c r="N20" s="5">
        <v>0</v>
      </c>
      <c r="O20" s="5">
        <v>0</v>
      </c>
      <c r="P20" s="62">
        <v>0</v>
      </c>
      <c r="Q20" s="24">
        <f t="shared" si="0"/>
        <v>32</v>
      </c>
      <c r="R20" s="66">
        <f t="shared" si="1"/>
        <v>8.685031890351472E-4</v>
      </c>
    </row>
    <row r="21" spans="1:19" ht="16" x14ac:dyDescent="0.15">
      <c r="A21" s="79" t="s">
        <v>15</v>
      </c>
      <c r="B21" s="15">
        <v>2</v>
      </c>
      <c r="C21" s="5">
        <v>2</v>
      </c>
      <c r="D21" s="5">
        <v>2</v>
      </c>
      <c r="E21" s="5">
        <v>5</v>
      </c>
      <c r="F21" s="5">
        <v>4</v>
      </c>
      <c r="G21" s="5">
        <v>15</v>
      </c>
      <c r="H21" s="5">
        <v>31</v>
      </c>
      <c r="I21" s="5">
        <v>24</v>
      </c>
      <c r="J21" s="6">
        <v>38</v>
      </c>
      <c r="K21" s="6">
        <v>37</v>
      </c>
      <c r="L21" s="6">
        <v>10</v>
      </c>
      <c r="M21" s="6">
        <v>7</v>
      </c>
      <c r="N21" s="5">
        <v>0</v>
      </c>
      <c r="O21" s="5">
        <v>0</v>
      </c>
      <c r="P21" s="62">
        <v>0</v>
      </c>
      <c r="Q21" s="24">
        <f t="shared" si="0"/>
        <v>177</v>
      </c>
      <c r="R21" s="66">
        <f t="shared" si="1"/>
        <v>4.8039082643506585E-3</v>
      </c>
    </row>
    <row r="22" spans="1:19" ht="16" x14ac:dyDescent="0.15">
      <c r="A22" s="79" t="s">
        <v>16</v>
      </c>
      <c r="B22" s="15">
        <v>200</v>
      </c>
      <c r="C22" s="5">
        <v>272</v>
      </c>
      <c r="D22" s="5">
        <v>210</v>
      </c>
      <c r="E22" s="5">
        <v>133</v>
      </c>
      <c r="F22" s="5">
        <v>217</v>
      </c>
      <c r="G22" s="5">
        <v>337</v>
      </c>
      <c r="H22" s="5">
        <v>310</v>
      </c>
      <c r="I22" s="5">
        <v>328</v>
      </c>
      <c r="J22" s="5">
        <v>317</v>
      </c>
      <c r="K22" s="5">
        <v>389</v>
      </c>
      <c r="L22" s="5">
        <v>102</v>
      </c>
      <c r="M22" s="5">
        <v>34</v>
      </c>
      <c r="N22" s="5">
        <v>0</v>
      </c>
      <c r="O22" s="5">
        <v>0</v>
      </c>
      <c r="P22" s="62">
        <v>0</v>
      </c>
      <c r="Q22" s="24">
        <f t="shared" si="0"/>
        <v>2849</v>
      </c>
      <c r="R22" s="66">
        <f t="shared" si="1"/>
        <v>7.732392454878545E-2</v>
      </c>
    </row>
    <row r="23" spans="1:19" ht="16" x14ac:dyDescent="0.15">
      <c r="A23" s="79" t="s">
        <v>17</v>
      </c>
      <c r="B23" s="15">
        <v>1</v>
      </c>
      <c r="C23" s="5">
        <v>1</v>
      </c>
      <c r="D23" s="5">
        <v>1</v>
      </c>
      <c r="E23" s="5">
        <v>1</v>
      </c>
      <c r="F23" s="5">
        <v>1</v>
      </c>
      <c r="G23" s="5">
        <v>3</v>
      </c>
      <c r="H23" s="5">
        <v>4</v>
      </c>
      <c r="I23" s="5">
        <v>5</v>
      </c>
      <c r="J23" s="5">
        <v>4</v>
      </c>
      <c r="K23" s="5">
        <v>5</v>
      </c>
      <c r="L23" s="5">
        <v>1</v>
      </c>
      <c r="M23" s="5">
        <v>1</v>
      </c>
      <c r="N23" s="5">
        <v>0</v>
      </c>
      <c r="O23" s="5">
        <v>0</v>
      </c>
      <c r="P23" s="62">
        <v>0</v>
      </c>
      <c r="Q23" s="24">
        <f t="shared" si="0"/>
        <v>28</v>
      </c>
      <c r="R23" s="66">
        <f t="shared" si="1"/>
        <v>7.5994029040575388E-4</v>
      </c>
    </row>
    <row r="24" spans="1:19" ht="16" x14ac:dyDescent="0.15">
      <c r="A24" s="79" t="s">
        <v>18</v>
      </c>
      <c r="B24" s="67">
        <v>243</v>
      </c>
      <c r="C24" s="68">
        <v>288</v>
      </c>
      <c r="D24" s="68">
        <v>140</v>
      </c>
      <c r="E24" s="68">
        <v>48</v>
      </c>
      <c r="F24" s="68">
        <v>41</v>
      </c>
      <c r="G24" s="68">
        <v>30</v>
      </c>
      <c r="H24" s="68">
        <v>33</v>
      </c>
      <c r="I24" s="68">
        <v>32</v>
      </c>
      <c r="J24" s="68">
        <v>27</v>
      </c>
      <c r="K24" s="68">
        <v>61</v>
      </c>
      <c r="L24" s="68">
        <v>66</v>
      </c>
      <c r="M24" s="68">
        <v>23</v>
      </c>
      <c r="N24" s="68">
        <v>0</v>
      </c>
      <c r="O24" s="68">
        <v>0</v>
      </c>
      <c r="P24" s="69">
        <v>0</v>
      </c>
      <c r="Q24" s="92">
        <f t="shared" si="0"/>
        <v>1032</v>
      </c>
      <c r="R24" s="70">
        <f t="shared" si="1"/>
        <v>2.8009227846383499E-2</v>
      </c>
    </row>
    <row r="25" spans="1:19" x14ac:dyDescent="0.15">
      <c r="A25" s="79"/>
      <c r="B25" s="7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42">
        <f>SUM(Q6:Q24)</f>
        <v>36845</v>
      </c>
      <c r="R25" s="76"/>
    </row>
    <row r="26" spans="1:19" ht="16" x14ac:dyDescent="0.2">
      <c r="A26" s="81" t="s">
        <v>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6" x14ac:dyDescent="0.15">
      <c r="A27" s="79" t="s">
        <v>19</v>
      </c>
      <c r="B27" s="36">
        <v>99</v>
      </c>
      <c r="C27" s="59">
        <v>138</v>
      </c>
      <c r="D27" s="59">
        <v>94</v>
      </c>
      <c r="E27" s="59">
        <v>112</v>
      </c>
      <c r="F27" s="59">
        <v>292</v>
      </c>
      <c r="G27" s="59">
        <v>412</v>
      </c>
      <c r="H27" s="59">
        <v>645</v>
      </c>
      <c r="I27" s="59">
        <v>952</v>
      </c>
      <c r="J27" s="60">
        <v>1190</v>
      </c>
      <c r="K27" s="60">
        <v>1060</v>
      </c>
      <c r="L27" s="60">
        <v>652</v>
      </c>
      <c r="M27" s="60">
        <v>102</v>
      </c>
      <c r="N27" s="60">
        <v>6</v>
      </c>
      <c r="O27" s="60">
        <v>0</v>
      </c>
      <c r="P27" s="64">
        <v>0</v>
      </c>
      <c r="Q27" s="93">
        <f>SUM(B27:P27)</f>
        <v>5754</v>
      </c>
      <c r="R27" s="65">
        <f>Q27/36845</f>
        <v>0.15616772967838241</v>
      </c>
    </row>
    <row r="28" spans="1:19" ht="16" x14ac:dyDescent="0.15">
      <c r="A28" s="79" t="s">
        <v>20</v>
      </c>
      <c r="B28" s="1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2">
        <v>0</v>
      </c>
      <c r="Q28" s="24">
        <f t="shared" ref="Q28:Q43" si="2">SUM(B28:P28)</f>
        <v>1</v>
      </c>
      <c r="R28" s="66">
        <f t="shared" ref="R28:R43" si="3">Q28/36845</f>
        <v>2.714072465734835E-5</v>
      </c>
    </row>
    <row r="29" spans="1:19" ht="16" x14ac:dyDescent="0.15">
      <c r="A29" s="79" t="s">
        <v>21</v>
      </c>
      <c r="B29" s="15">
        <v>7</v>
      </c>
      <c r="C29" s="5">
        <v>4</v>
      </c>
      <c r="D29" s="5">
        <v>3</v>
      </c>
      <c r="E29" s="5">
        <v>1</v>
      </c>
      <c r="F29" s="5">
        <v>2</v>
      </c>
      <c r="G29" s="5">
        <v>2</v>
      </c>
      <c r="H29" s="5">
        <v>11</v>
      </c>
      <c r="I29" s="5">
        <v>5</v>
      </c>
      <c r="J29" s="6">
        <v>26</v>
      </c>
      <c r="K29" s="6">
        <v>548</v>
      </c>
      <c r="L29" s="6">
        <v>338</v>
      </c>
      <c r="M29" s="6">
        <v>88</v>
      </c>
      <c r="N29" s="6">
        <v>1</v>
      </c>
      <c r="O29" s="6">
        <v>0</v>
      </c>
      <c r="P29" s="62">
        <v>1</v>
      </c>
      <c r="Q29" s="24">
        <f t="shared" si="2"/>
        <v>1037</v>
      </c>
      <c r="R29" s="66">
        <f t="shared" si="3"/>
        <v>2.8144931469670242E-2</v>
      </c>
    </row>
    <row r="30" spans="1:19" ht="16" x14ac:dyDescent="0.15">
      <c r="A30" s="79" t="s">
        <v>22</v>
      </c>
      <c r="B30" s="15">
        <v>1</v>
      </c>
      <c r="C30" s="5">
        <v>36</v>
      </c>
      <c r="D30" s="5">
        <v>0</v>
      </c>
      <c r="E30" s="5">
        <v>0</v>
      </c>
      <c r="F30" s="5">
        <v>1</v>
      </c>
      <c r="G30" s="5">
        <v>0</v>
      </c>
      <c r="H30" s="5">
        <v>1</v>
      </c>
      <c r="I30" s="5">
        <v>1</v>
      </c>
      <c r="J30" s="6">
        <v>0</v>
      </c>
      <c r="K30" s="6">
        <v>2</v>
      </c>
      <c r="L30" s="6">
        <v>0</v>
      </c>
      <c r="M30" s="6">
        <v>0</v>
      </c>
      <c r="N30" s="6">
        <v>0</v>
      </c>
      <c r="O30" s="6">
        <v>0</v>
      </c>
      <c r="P30" s="62">
        <v>0</v>
      </c>
      <c r="Q30" s="24">
        <f t="shared" si="2"/>
        <v>42</v>
      </c>
      <c r="R30" s="66">
        <f t="shared" si="3"/>
        <v>1.1399104356086308E-3</v>
      </c>
    </row>
    <row r="31" spans="1:19" ht="16" x14ac:dyDescent="0.15">
      <c r="A31" s="79" t="s">
        <v>23</v>
      </c>
      <c r="B31" s="15">
        <v>0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3</v>
      </c>
      <c r="I31" s="5">
        <v>12</v>
      </c>
      <c r="J31" s="6">
        <v>3</v>
      </c>
      <c r="K31" s="6">
        <v>3</v>
      </c>
      <c r="L31" s="6">
        <v>3</v>
      </c>
      <c r="M31" s="6">
        <v>2</v>
      </c>
      <c r="N31" s="6">
        <v>0</v>
      </c>
      <c r="O31" s="6">
        <v>0</v>
      </c>
      <c r="P31" s="62">
        <v>0</v>
      </c>
      <c r="Q31" s="24">
        <f t="shared" si="2"/>
        <v>29</v>
      </c>
      <c r="R31" s="66">
        <f t="shared" si="3"/>
        <v>7.8708101506310215E-4</v>
      </c>
    </row>
    <row r="32" spans="1:19" ht="16" x14ac:dyDescent="0.15">
      <c r="A32" s="79" t="s">
        <v>24</v>
      </c>
      <c r="B32" s="1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1</v>
      </c>
      <c r="K32" s="6">
        <v>2</v>
      </c>
      <c r="L32" s="6">
        <v>12</v>
      </c>
      <c r="M32" s="6">
        <v>1</v>
      </c>
      <c r="N32" s="6">
        <v>2</v>
      </c>
      <c r="O32" s="6">
        <v>0</v>
      </c>
      <c r="P32" s="62">
        <v>0</v>
      </c>
      <c r="Q32" s="24">
        <f t="shared" si="2"/>
        <v>18</v>
      </c>
      <c r="R32" s="66">
        <f t="shared" si="3"/>
        <v>4.8853304383227037E-4</v>
      </c>
    </row>
    <row r="33" spans="1:18" ht="16" x14ac:dyDescent="0.15">
      <c r="A33" s="79" t="s">
        <v>25</v>
      </c>
      <c r="B33" s="15">
        <v>0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2">
        <v>0</v>
      </c>
      <c r="Q33" s="24">
        <f t="shared" si="2"/>
        <v>2</v>
      </c>
      <c r="R33" s="66">
        <f t="shared" si="3"/>
        <v>5.42814493146967E-5</v>
      </c>
    </row>
    <row r="34" spans="1:18" ht="16" x14ac:dyDescent="0.15">
      <c r="A34" s="79" t="s">
        <v>26</v>
      </c>
      <c r="B34" s="15">
        <v>143</v>
      </c>
      <c r="C34" s="5">
        <v>86</v>
      </c>
      <c r="D34" s="5">
        <v>50</v>
      </c>
      <c r="E34" s="5">
        <v>48</v>
      </c>
      <c r="F34" s="5">
        <v>116</v>
      </c>
      <c r="G34" s="5">
        <v>309</v>
      </c>
      <c r="H34" s="5">
        <v>409</v>
      </c>
      <c r="I34" s="5">
        <v>376</v>
      </c>
      <c r="J34" s="6">
        <v>548</v>
      </c>
      <c r="K34" s="6">
        <v>550</v>
      </c>
      <c r="L34" s="6">
        <v>283</v>
      </c>
      <c r="M34" s="6">
        <v>68</v>
      </c>
      <c r="N34" s="6">
        <v>1</v>
      </c>
      <c r="O34" s="6">
        <v>0</v>
      </c>
      <c r="P34" s="62">
        <v>0</v>
      </c>
      <c r="Q34" s="24">
        <f t="shared" si="2"/>
        <v>2987</v>
      </c>
      <c r="R34" s="66">
        <f t="shared" si="3"/>
        <v>8.1069344551499528E-2</v>
      </c>
    </row>
    <row r="35" spans="1:18" ht="16" x14ac:dyDescent="0.15">
      <c r="A35" s="79" t="s">
        <v>27</v>
      </c>
      <c r="B35" s="15">
        <v>1</v>
      </c>
      <c r="C35" s="5">
        <v>1</v>
      </c>
      <c r="D35" s="5">
        <v>0</v>
      </c>
      <c r="E35" s="5">
        <v>0</v>
      </c>
      <c r="F35" s="5">
        <v>13</v>
      </c>
      <c r="G35" s="5">
        <v>9</v>
      </c>
      <c r="H35" s="5">
        <v>14</v>
      </c>
      <c r="I35" s="5">
        <v>5</v>
      </c>
      <c r="J35" s="6">
        <v>0</v>
      </c>
      <c r="K35" s="6">
        <v>4</v>
      </c>
      <c r="L35" s="6">
        <v>1</v>
      </c>
      <c r="M35" s="6">
        <v>0</v>
      </c>
      <c r="N35" s="6">
        <v>0</v>
      </c>
      <c r="O35" s="6">
        <v>0</v>
      </c>
      <c r="P35" s="62">
        <v>0</v>
      </c>
      <c r="Q35" s="24">
        <f t="shared" si="2"/>
        <v>48</v>
      </c>
      <c r="R35" s="66">
        <f t="shared" si="3"/>
        <v>1.3027547835527209E-3</v>
      </c>
    </row>
    <row r="36" spans="1:18" ht="16" x14ac:dyDescent="0.15">
      <c r="A36" s="79" t="s">
        <v>28</v>
      </c>
      <c r="B36" s="1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6">
        <v>0</v>
      </c>
      <c r="K36" s="6">
        <v>2</v>
      </c>
      <c r="L36" s="6">
        <v>2</v>
      </c>
      <c r="M36" s="6">
        <v>1</v>
      </c>
      <c r="N36" s="6">
        <v>0</v>
      </c>
      <c r="O36" s="6">
        <v>0</v>
      </c>
      <c r="P36" s="62">
        <v>0</v>
      </c>
      <c r="Q36" s="24">
        <f t="shared" si="2"/>
        <v>5</v>
      </c>
      <c r="R36" s="66">
        <f t="shared" si="3"/>
        <v>1.3570362328674176E-4</v>
      </c>
    </row>
    <row r="37" spans="1:18" ht="16" x14ac:dyDescent="0.15">
      <c r="A37" s="79" t="s">
        <v>29</v>
      </c>
      <c r="B37" s="15">
        <v>0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1</v>
      </c>
      <c r="J37" s="6">
        <v>2</v>
      </c>
      <c r="K37" s="6">
        <v>7</v>
      </c>
      <c r="L37" s="6">
        <v>7</v>
      </c>
      <c r="M37" s="6">
        <v>0</v>
      </c>
      <c r="N37" s="6">
        <v>0</v>
      </c>
      <c r="O37" s="6">
        <v>0</v>
      </c>
      <c r="P37" s="62">
        <v>0</v>
      </c>
      <c r="Q37" s="24">
        <f t="shared" si="2"/>
        <v>18</v>
      </c>
      <c r="R37" s="66">
        <f t="shared" si="3"/>
        <v>4.8853304383227037E-4</v>
      </c>
    </row>
    <row r="38" spans="1:18" ht="16" x14ac:dyDescent="0.15">
      <c r="A38" s="79" t="s">
        <v>30</v>
      </c>
      <c r="B38" s="1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6">
        <v>3</v>
      </c>
      <c r="K38" s="6">
        <v>51</v>
      </c>
      <c r="L38" s="6">
        <v>27</v>
      </c>
      <c r="M38" s="6">
        <v>2</v>
      </c>
      <c r="N38" s="6">
        <v>0</v>
      </c>
      <c r="O38" s="6">
        <v>0</v>
      </c>
      <c r="P38" s="62">
        <v>0</v>
      </c>
      <c r="Q38" s="24">
        <f t="shared" si="2"/>
        <v>83</v>
      </c>
      <c r="R38" s="66">
        <f t="shared" si="3"/>
        <v>2.252680146559913E-3</v>
      </c>
    </row>
    <row r="39" spans="1:18" ht="16" x14ac:dyDescent="0.15">
      <c r="A39" s="79" t="s">
        <v>31</v>
      </c>
      <c r="B39" s="15">
        <v>0</v>
      </c>
      <c r="C39" s="5">
        <v>65</v>
      </c>
      <c r="D39" s="5">
        <v>79</v>
      </c>
      <c r="E39" s="5">
        <v>52</v>
      </c>
      <c r="F39" s="5">
        <v>65</v>
      </c>
      <c r="G39" s="5">
        <v>161</v>
      </c>
      <c r="H39" s="5">
        <v>293</v>
      </c>
      <c r="I39" s="5">
        <v>282</v>
      </c>
      <c r="J39" s="6">
        <v>375</v>
      </c>
      <c r="K39" s="6">
        <v>359</v>
      </c>
      <c r="L39" s="6">
        <v>123</v>
      </c>
      <c r="M39" s="6">
        <v>20</v>
      </c>
      <c r="N39" s="6">
        <v>2</v>
      </c>
      <c r="O39" s="6">
        <v>0</v>
      </c>
      <c r="P39" s="62">
        <v>0</v>
      </c>
      <c r="Q39" s="24">
        <f t="shared" si="2"/>
        <v>1876</v>
      </c>
      <c r="R39" s="66">
        <f t="shared" si="3"/>
        <v>5.0915999457185508E-2</v>
      </c>
    </row>
    <row r="40" spans="1:18" ht="16" x14ac:dyDescent="0.15">
      <c r="A40" s="79" t="s">
        <v>32</v>
      </c>
      <c r="B40" s="15">
        <v>294</v>
      </c>
      <c r="C40" s="5">
        <v>577</v>
      </c>
      <c r="D40" s="5">
        <v>304</v>
      </c>
      <c r="E40" s="5">
        <v>174</v>
      </c>
      <c r="F40" s="5">
        <v>323</v>
      </c>
      <c r="G40" s="5">
        <v>646</v>
      </c>
      <c r="H40" s="6">
        <v>1046</v>
      </c>
      <c r="I40" s="6">
        <v>1039</v>
      </c>
      <c r="J40" s="6">
        <v>1460</v>
      </c>
      <c r="K40" s="6">
        <v>1119</v>
      </c>
      <c r="L40" s="6">
        <v>471</v>
      </c>
      <c r="M40" s="6">
        <v>125</v>
      </c>
      <c r="N40" s="6">
        <v>14</v>
      </c>
      <c r="O40" s="6">
        <v>0</v>
      </c>
      <c r="P40" s="62">
        <v>6</v>
      </c>
      <c r="Q40" s="24">
        <f t="shared" si="2"/>
        <v>7598</v>
      </c>
      <c r="R40" s="66">
        <f t="shared" si="3"/>
        <v>0.20621522594653277</v>
      </c>
    </row>
    <row r="41" spans="1:18" ht="16" x14ac:dyDescent="0.15">
      <c r="A41" s="79" t="s">
        <v>33</v>
      </c>
      <c r="B41" s="15">
        <v>202</v>
      </c>
      <c r="C41" s="5">
        <v>529</v>
      </c>
      <c r="D41" s="5">
        <v>427</v>
      </c>
      <c r="E41" s="5">
        <v>771</v>
      </c>
      <c r="F41" s="6">
        <v>1079</v>
      </c>
      <c r="G41" s="6">
        <v>1576</v>
      </c>
      <c r="H41" s="6">
        <v>2915</v>
      </c>
      <c r="I41" s="6">
        <v>3030</v>
      </c>
      <c r="J41" s="6">
        <v>3448</v>
      </c>
      <c r="K41" s="6">
        <v>2363</v>
      </c>
      <c r="L41" s="6">
        <v>830</v>
      </c>
      <c r="M41" s="6">
        <v>122</v>
      </c>
      <c r="N41" s="6">
        <v>4</v>
      </c>
      <c r="O41" s="6">
        <v>0</v>
      </c>
      <c r="P41" s="62">
        <v>2</v>
      </c>
      <c r="Q41" s="24">
        <f t="shared" si="2"/>
        <v>17298</v>
      </c>
      <c r="R41" s="66">
        <f t="shared" si="3"/>
        <v>0.46948025512281177</v>
      </c>
    </row>
    <row r="42" spans="1:18" ht="16" x14ac:dyDescent="0.15">
      <c r="A42" s="79" t="s">
        <v>34</v>
      </c>
      <c r="B42" s="1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2">
        <v>0</v>
      </c>
      <c r="Q42" s="24">
        <f t="shared" si="2"/>
        <v>1</v>
      </c>
      <c r="R42" s="66">
        <f t="shared" si="3"/>
        <v>2.714072465734835E-5</v>
      </c>
    </row>
    <row r="43" spans="1:18" ht="16" x14ac:dyDescent="0.15">
      <c r="A43" s="79" t="s">
        <v>35</v>
      </c>
      <c r="B43" s="67">
        <v>1</v>
      </c>
      <c r="C43" s="68">
        <v>45</v>
      </c>
      <c r="D43" s="68">
        <v>0</v>
      </c>
      <c r="E43" s="68">
        <v>0</v>
      </c>
      <c r="F43" s="68">
        <v>0</v>
      </c>
      <c r="G43" s="68">
        <v>0</v>
      </c>
      <c r="H43" s="68">
        <v>1</v>
      </c>
      <c r="I43" s="68">
        <v>0</v>
      </c>
      <c r="J43" s="68">
        <v>0</v>
      </c>
      <c r="K43" s="68">
        <v>1</v>
      </c>
      <c r="L43" s="68">
        <v>0</v>
      </c>
      <c r="M43" s="68">
        <v>0</v>
      </c>
      <c r="N43" s="68">
        <v>0</v>
      </c>
      <c r="O43" s="68">
        <v>0</v>
      </c>
      <c r="P43" s="69">
        <v>0</v>
      </c>
      <c r="Q43" s="92">
        <f t="shared" si="2"/>
        <v>48</v>
      </c>
      <c r="R43" s="70">
        <f t="shared" si="3"/>
        <v>1.3027547835527209E-3</v>
      </c>
    </row>
    <row r="44" spans="1:18" x14ac:dyDescent="0.15">
      <c r="A44" s="79"/>
      <c r="B44" s="7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  <c r="Q44" s="42">
        <f>SUM(Q27:Q43)</f>
        <v>36845</v>
      </c>
      <c r="R44" s="76"/>
    </row>
    <row r="45" spans="1:18" ht="16" x14ac:dyDescent="0.2">
      <c r="A45" s="81" t="s">
        <v>77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8" ht="16" x14ac:dyDescent="0.15">
      <c r="A46" s="79" t="s">
        <v>36</v>
      </c>
      <c r="B46" s="36">
        <v>175</v>
      </c>
      <c r="C46" s="59">
        <v>360</v>
      </c>
      <c r="D46" s="59">
        <v>180</v>
      </c>
      <c r="E46" s="59">
        <v>157</v>
      </c>
      <c r="F46" s="59">
        <v>283</v>
      </c>
      <c r="G46" s="59">
        <v>513</v>
      </c>
      <c r="H46" s="59">
        <v>824</v>
      </c>
      <c r="I46" s="59">
        <v>976</v>
      </c>
      <c r="J46" s="60">
        <v>1110</v>
      </c>
      <c r="K46" s="59">
        <v>954</v>
      </c>
      <c r="L46" s="59">
        <v>448</v>
      </c>
      <c r="M46" s="59">
        <v>66</v>
      </c>
      <c r="N46" s="59">
        <v>6</v>
      </c>
      <c r="O46" s="59">
        <v>0</v>
      </c>
      <c r="P46" s="64">
        <v>2</v>
      </c>
      <c r="Q46" s="93">
        <f>SUM(B46:P46)</f>
        <v>6054</v>
      </c>
      <c r="R46" s="65">
        <f>Q46/37974</f>
        <v>0.15942486964765365</v>
      </c>
    </row>
    <row r="47" spans="1:18" ht="16" x14ac:dyDescent="0.15">
      <c r="A47" s="79" t="s">
        <v>37</v>
      </c>
      <c r="B47" s="15">
        <v>626</v>
      </c>
      <c r="C47" s="6">
        <v>1187</v>
      </c>
      <c r="D47" s="5">
        <v>829</v>
      </c>
      <c r="E47" s="6">
        <v>1035</v>
      </c>
      <c r="F47" s="6">
        <v>1686</v>
      </c>
      <c r="G47" s="6">
        <v>2677</v>
      </c>
      <c r="H47" s="6">
        <v>4622</v>
      </c>
      <c r="I47" s="6">
        <v>4929</v>
      </c>
      <c r="J47" s="6">
        <v>6126</v>
      </c>
      <c r="K47" s="6">
        <v>5295</v>
      </c>
      <c r="L47" s="6">
        <v>2387</v>
      </c>
      <c r="M47" s="6">
        <v>481</v>
      </c>
      <c r="N47" s="5">
        <v>26</v>
      </c>
      <c r="O47" s="5">
        <v>0</v>
      </c>
      <c r="P47" s="62">
        <v>7</v>
      </c>
      <c r="Q47" s="24">
        <f t="shared" ref="Q47:Q49" si="4">SUM(B47:P47)</f>
        <v>31913</v>
      </c>
      <c r="R47" s="66">
        <f t="shared" ref="R47:R49" si="5">Q47/37974</f>
        <v>0.84039079370095326</v>
      </c>
    </row>
    <row r="48" spans="1:18" ht="16" x14ac:dyDescent="0.15">
      <c r="A48" s="79" t="s">
        <v>35</v>
      </c>
      <c r="B48" s="1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62">
        <v>0</v>
      </c>
      <c r="Q48" s="24">
        <f t="shared" si="4"/>
        <v>1</v>
      </c>
      <c r="R48" s="66">
        <f t="shared" si="5"/>
        <v>2.6333807341865487E-5</v>
      </c>
    </row>
    <row r="49" spans="1:18" ht="16" x14ac:dyDescent="0.15">
      <c r="A49" s="79" t="s">
        <v>38</v>
      </c>
      <c r="B49" s="67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1</v>
      </c>
      <c r="J49" s="68">
        <v>2</v>
      </c>
      <c r="K49" s="68">
        <v>0</v>
      </c>
      <c r="L49" s="68">
        <v>0</v>
      </c>
      <c r="M49" s="68">
        <v>3</v>
      </c>
      <c r="N49" s="68">
        <v>0</v>
      </c>
      <c r="O49" s="68">
        <v>0</v>
      </c>
      <c r="P49" s="69">
        <v>0</v>
      </c>
      <c r="Q49" s="92">
        <f t="shared" si="4"/>
        <v>6</v>
      </c>
      <c r="R49" s="70">
        <f t="shared" si="5"/>
        <v>1.5800284405119292E-4</v>
      </c>
    </row>
    <row r="50" spans="1:18" x14ac:dyDescent="0.15">
      <c r="A50" s="79"/>
      <c r="B50" s="72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42">
        <f>SUM(Q46:Q49)</f>
        <v>37974</v>
      </c>
      <c r="R50" s="77"/>
    </row>
    <row r="51" spans="1:18" ht="16" x14ac:dyDescent="0.2">
      <c r="A51" s="81" t="s">
        <v>58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12"/>
    </row>
    <row r="52" spans="1:18" ht="16" x14ac:dyDescent="0.15">
      <c r="A52" s="79" t="s">
        <v>39</v>
      </c>
      <c r="B52" s="36">
        <v>81</v>
      </c>
      <c r="C52" s="59">
        <v>211</v>
      </c>
      <c r="D52" s="59">
        <v>148</v>
      </c>
      <c r="E52" s="59">
        <v>228</v>
      </c>
      <c r="F52" s="59">
        <v>385</v>
      </c>
      <c r="G52" s="59">
        <v>549</v>
      </c>
      <c r="H52" s="59">
        <v>927</v>
      </c>
      <c r="I52" s="60">
        <v>1080</v>
      </c>
      <c r="J52" s="60">
        <v>1205</v>
      </c>
      <c r="K52" s="59">
        <v>913</v>
      </c>
      <c r="L52" s="59">
        <v>461</v>
      </c>
      <c r="M52" s="59">
        <v>84</v>
      </c>
      <c r="N52" s="59">
        <v>3</v>
      </c>
      <c r="O52" s="59">
        <v>0</v>
      </c>
      <c r="P52" s="64">
        <v>0</v>
      </c>
      <c r="Q52" s="93">
        <f>SUM(B52:P52)</f>
        <v>6275</v>
      </c>
      <c r="R52" s="65">
        <f>Q52/37460</f>
        <v>0.1675120128136679</v>
      </c>
    </row>
    <row r="53" spans="1:18" ht="16" x14ac:dyDescent="0.15">
      <c r="A53" s="79" t="s">
        <v>40</v>
      </c>
      <c r="B53" s="15">
        <v>32</v>
      </c>
      <c r="C53" s="5">
        <v>77</v>
      </c>
      <c r="D53" s="5">
        <v>49</v>
      </c>
      <c r="E53" s="5">
        <v>45</v>
      </c>
      <c r="F53" s="5">
        <v>81</v>
      </c>
      <c r="G53" s="5">
        <v>136</v>
      </c>
      <c r="H53" s="5">
        <v>204</v>
      </c>
      <c r="I53" s="5">
        <v>155</v>
      </c>
      <c r="J53" s="5">
        <v>175</v>
      </c>
      <c r="K53" s="6">
        <v>135</v>
      </c>
      <c r="L53" s="6">
        <v>55</v>
      </c>
      <c r="M53" s="6">
        <v>13</v>
      </c>
      <c r="N53" s="5">
        <v>4</v>
      </c>
      <c r="O53" s="5">
        <v>0</v>
      </c>
      <c r="P53" s="62">
        <v>0</v>
      </c>
      <c r="Q53" s="24">
        <f t="shared" ref="Q53:Q60" si="6">SUM(B53:P53)</f>
        <v>1161</v>
      </c>
      <c r="R53" s="66">
        <f t="shared" ref="R53:R60" si="7">Q53/37460</f>
        <v>3.0993059263214096E-2</v>
      </c>
    </row>
    <row r="54" spans="1:18" ht="16" x14ac:dyDescent="0.15">
      <c r="A54" s="79" t="s">
        <v>41</v>
      </c>
      <c r="B54" s="15">
        <v>22</v>
      </c>
      <c r="C54" s="5">
        <v>45</v>
      </c>
      <c r="D54" s="5">
        <v>49</v>
      </c>
      <c r="E54" s="5">
        <v>73</v>
      </c>
      <c r="F54" s="5">
        <v>101</v>
      </c>
      <c r="G54" s="5">
        <v>164</v>
      </c>
      <c r="H54" s="5">
        <v>254</v>
      </c>
      <c r="I54" s="5">
        <v>385</v>
      </c>
      <c r="J54" s="5">
        <v>368</v>
      </c>
      <c r="K54" s="6">
        <v>318</v>
      </c>
      <c r="L54" s="6">
        <v>134</v>
      </c>
      <c r="M54" s="6">
        <v>38</v>
      </c>
      <c r="N54" s="5">
        <v>2</v>
      </c>
      <c r="O54" s="5">
        <v>0</v>
      </c>
      <c r="P54" s="62">
        <v>0</v>
      </c>
      <c r="Q54" s="24">
        <f t="shared" si="6"/>
        <v>1953</v>
      </c>
      <c r="R54" s="66">
        <f t="shared" si="7"/>
        <v>5.2135611318739991E-2</v>
      </c>
    </row>
    <row r="55" spans="1:18" ht="16" x14ac:dyDescent="0.15">
      <c r="A55" s="79" t="s">
        <v>45</v>
      </c>
      <c r="B55" s="15">
        <v>520</v>
      </c>
      <c r="C55" s="5">
        <v>994</v>
      </c>
      <c r="D55" s="5">
        <v>649</v>
      </c>
      <c r="E55" s="5">
        <v>762</v>
      </c>
      <c r="F55" s="6">
        <v>1214</v>
      </c>
      <c r="G55" s="6">
        <v>2014</v>
      </c>
      <c r="H55" s="6">
        <v>3528</v>
      </c>
      <c r="I55" s="6">
        <v>3659</v>
      </c>
      <c r="J55" s="6">
        <v>4795</v>
      </c>
      <c r="K55" s="6">
        <v>4257</v>
      </c>
      <c r="L55" s="6">
        <v>1880</v>
      </c>
      <c r="M55" s="6">
        <v>335</v>
      </c>
      <c r="N55" s="5">
        <v>16</v>
      </c>
      <c r="O55" s="5">
        <v>0</v>
      </c>
      <c r="P55" s="62">
        <v>6</v>
      </c>
      <c r="Q55" s="24">
        <f t="shared" si="6"/>
        <v>24629</v>
      </c>
      <c r="R55" s="66">
        <f t="shared" si="7"/>
        <v>0.65747463961558994</v>
      </c>
    </row>
    <row r="56" spans="1:18" ht="16" x14ac:dyDescent="0.15">
      <c r="A56" s="79" t="s">
        <v>42</v>
      </c>
      <c r="B56" s="15">
        <v>17</v>
      </c>
      <c r="C56" s="5">
        <v>22</v>
      </c>
      <c r="D56" s="5">
        <v>25</v>
      </c>
      <c r="E56" s="5">
        <v>25</v>
      </c>
      <c r="F56" s="5">
        <v>54</v>
      </c>
      <c r="G56" s="5">
        <v>86</v>
      </c>
      <c r="H56" s="5">
        <v>121</v>
      </c>
      <c r="I56" s="5">
        <v>156</v>
      </c>
      <c r="J56" s="5">
        <v>152</v>
      </c>
      <c r="K56" s="6">
        <v>113</v>
      </c>
      <c r="L56" s="6">
        <v>63</v>
      </c>
      <c r="M56" s="6">
        <v>10</v>
      </c>
      <c r="N56" s="5">
        <v>0</v>
      </c>
      <c r="O56" s="5">
        <v>0</v>
      </c>
      <c r="P56" s="62">
        <v>1</v>
      </c>
      <c r="Q56" s="24">
        <f t="shared" si="6"/>
        <v>845</v>
      </c>
      <c r="R56" s="66">
        <f t="shared" si="7"/>
        <v>2.2557394554191139E-2</v>
      </c>
    </row>
    <row r="57" spans="1:18" ht="16" x14ac:dyDescent="0.15">
      <c r="A57" s="79" t="s">
        <v>43</v>
      </c>
      <c r="B57" s="15">
        <v>16</v>
      </c>
      <c r="C57" s="5">
        <v>35</v>
      </c>
      <c r="D57" s="5">
        <v>39</v>
      </c>
      <c r="E57" s="5">
        <v>33</v>
      </c>
      <c r="F57" s="5">
        <v>62</v>
      </c>
      <c r="G57" s="5">
        <v>86</v>
      </c>
      <c r="H57" s="5">
        <v>145</v>
      </c>
      <c r="I57" s="5">
        <v>156</v>
      </c>
      <c r="J57" s="5">
        <v>185</v>
      </c>
      <c r="K57" s="6">
        <v>191</v>
      </c>
      <c r="L57" s="6">
        <v>69</v>
      </c>
      <c r="M57" s="6">
        <v>26</v>
      </c>
      <c r="N57" s="5">
        <v>2</v>
      </c>
      <c r="O57" s="5">
        <v>0</v>
      </c>
      <c r="P57" s="62">
        <v>0</v>
      </c>
      <c r="Q57" s="24">
        <f t="shared" si="6"/>
        <v>1045</v>
      </c>
      <c r="R57" s="66">
        <f t="shared" si="7"/>
        <v>2.789642285104111E-2</v>
      </c>
    </row>
    <row r="58" spans="1:18" ht="16" x14ac:dyDescent="0.15">
      <c r="A58" s="79" t="s">
        <v>7</v>
      </c>
      <c r="B58" s="15">
        <v>5</v>
      </c>
      <c r="C58" s="5">
        <v>3</v>
      </c>
      <c r="D58" s="5">
        <v>2</v>
      </c>
      <c r="E58" s="5">
        <v>1</v>
      </c>
      <c r="F58" s="5">
        <v>5</v>
      </c>
      <c r="G58" s="5">
        <v>6</v>
      </c>
      <c r="H58" s="5">
        <v>9</v>
      </c>
      <c r="I58" s="5">
        <v>11</v>
      </c>
      <c r="J58" s="5">
        <v>13</v>
      </c>
      <c r="K58" s="6">
        <v>12</v>
      </c>
      <c r="L58" s="6">
        <v>10</v>
      </c>
      <c r="M58" s="6">
        <v>3</v>
      </c>
      <c r="N58" s="5">
        <v>0</v>
      </c>
      <c r="O58" s="5">
        <v>0</v>
      </c>
      <c r="P58" s="62">
        <v>0</v>
      </c>
      <c r="Q58" s="24">
        <f t="shared" si="6"/>
        <v>80</v>
      </c>
      <c r="R58" s="66">
        <f t="shared" si="7"/>
        <v>2.1356113187399892E-3</v>
      </c>
    </row>
    <row r="59" spans="1:18" ht="16" x14ac:dyDescent="0.15">
      <c r="A59" s="79" t="s">
        <v>44</v>
      </c>
      <c r="B59" s="15">
        <v>44</v>
      </c>
      <c r="C59" s="5">
        <v>93</v>
      </c>
      <c r="D59" s="5">
        <v>50</v>
      </c>
      <c r="E59" s="5">
        <v>33</v>
      </c>
      <c r="F59" s="5">
        <v>84</v>
      </c>
      <c r="G59" s="5">
        <v>106</v>
      </c>
      <c r="H59" s="5">
        <v>161</v>
      </c>
      <c r="I59" s="5">
        <v>183</v>
      </c>
      <c r="J59" s="5">
        <v>205</v>
      </c>
      <c r="K59" s="5">
        <v>168</v>
      </c>
      <c r="L59" s="5">
        <v>107</v>
      </c>
      <c r="M59" s="5">
        <v>32</v>
      </c>
      <c r="N59" s="5">
        <v>5</v>
      </c>
      <c r="O59" s="5">
        <v>0</v>
      </c>
      <c r="P59" s="62">
        <v>2</v>
      </c>
      <c r="Q59" s="24">
        <f t="shared" si="6"/>
        <v>1273</v>
      </c>
      <c r="R59" s="66">
        <f t="shared" si="7"/>
        <v>3.3982915109450083E-2</v>
      </c>
    </row>
    <row r="60" spans="1:18" ht="16" x14ac:dyDescent="0.15">
      <c r="A60" s="79" t="s">
        <v>35</v>
      </c>
      <c r="B60" s="67">
        <v>14</v>
      </c>
      <c r="C60" s="68">
        <v>19</v>
      </c>
      <c r="D60" s="68">
        <v>3</v>
      </c>
      <c r="E60" s="68">
        <v>11</v>
      </c>
      <c r="F60" s="68">
        <v>14</v>
      </c>
      <c r="G60" s="68">
        <v>15</v>
      </c>
      <c r="H60" s="68">
        <v>37</v>
      </c>
      <c r="I60" s="68">
        <v>21</v>
      </c>
      <c r="J60" s="68">
        <v>23</v>
      </c>
      <c r="K60" s="68">
        <v>24</v>
      </c>
      <c r="L60" s="68">
        <v>14</v>
      </c>
      <c r="M60" s="68">
        <v>4</v>
      </c>
      <c r="N60" s="68">
        <v>0</v>
      </c>
      <c r="O60" s="68">
        <v>0</v>
      </c>
      <c r="P60" s="69">
        <v>0</v>
      </c>
      <c r="Q60" s="92">
        <f t="shared" si="6"/>
        <v>199</v>
      </c>
      <c r="R60" s="70">
        <f t="shared" si="7"/>
        <v>5.3123331553657236E-3</v>
      </c>
    </row>
    <row r="61" spans="1:18" x14ac:dyDescent="0.15">
      <c r="A61" s="79"/>
      <c r="B61" s="72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5"/>
      <c r="Q61" s="42">
        <f>SUM(Q52:Q60)</f>
        <v>37460</v>
      </c>
      <c r="R61" s="76"/>
    </row>
    <row r="62" spans="1:18" s="9" customFormat="1" x14ac:dyDescent="0.15">
      <c r="A62" s="8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4"/>
      <c r="R62" s="63"/>
    </row>
    <row r="63" spans="1:18" x14ac:dyDescent="0.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5" spans="2:5" x14ac:dyDescent="0.15">
      <c r="B65" s="8"/>
      <c r="E65" s="8"/>
    </row>
    <row r="66" spans="2:5" x14ac:dyDescent="0.15">
      <c r="B66" s="8"/>
      <c r="E66" s="8"/>
    </row>
    <row r="67" spans="2:5" x14ac:dyDescent="0.15">
      <c r="C67" s="12"/>
      <c r="E67" s="12"/>
    </row>
    <row r="68" spans="2:5" x14ac:dyDescent="0.15">
      <c r="E68" s="12"/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C16B-B674-EA4B-8078-62E08CB8FFCA}">
  <dimension ref="A1:S30"/>
  <sheetViews>
    <sheetView workbookViewId="0">
      <selection sqref="A1:S2"/>
    </sheetView>
  </sheetViews>
  <sheetFormatPr baseColWidth="10" defaultRowHeight="13" x14ac:dyDescent="0.15"/>
  <cols>
    <col min="1" max="1" width="16.19921875" bestFit="1" customWidth="1"/>
    <col min="5" max="5" width="16.19921875" bestFit="1" customWidth="1"/>
    <col min="11" max="11" width="16.19921875" bestFit="1" customWidth="1"/>
    <col min="15" max="15" width="16.19921875" bestFit="1" customWidth="1"/>
  </cols>
  <sheetData>
    <row r="1" spans="1:19" ht="13" customHeight="1" x14ac:dyDescent="0.1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6" x14ac:dyDescent="0.2">
      <c r="A3" s="109" t="s">
        <v>60</v>
      </c>
      <c r="B3" s="109"/>
      <c r="C3" s="109"/>
      <c r="D3" s="109"/>
      <c r="E3" s="109"/>
      <c r="F3" s="109"/>
      <c r="G3" s="109"/>
      <c r="H3" s="109"/>
      <c r="I3" s="109"/>
      <c r="K3" s="109" t="s">
        <v>61</v>
      </c>
      <c r="L3" s="109"/>
      <c r="M3" s="109"/>
      <c r="N3" s="109"/>
      <c r="O3" s="109"/>
      <c r="P3" s="109"/>
      <c r="Q3" s="109"/>
      <c r="R3" s="109"/>
      <c r="S3" s="109"/>
    </row>
    <row r="4" spans="1:19" ht="16" x14ac:dyDescent="0.2">
      <c r="A4" s="109" t="s">
        <v>56</v>
      </c>
      <c r="B4" s="109"/>
      <c r="C4" s="109"/>
      <c r="D4" s="27"/>
      <c r="E4" s="109" t="s">
        <v>57</v>
      </c>
      <c r="F4" s="109"/>
      <c r="G4" s="109"/>
      <c r="H4" s="109"/>
      <c r="I4" s="109"/>
      <c r="K4" s="109" t="s">
        <v>56</v>
      </c>
      <c r="L4" s="109"/>
      <c r="M4" s="109"/>
      <c r="N4" s="27"/>
      <c r="O4" s="109" t="s">
        <v>57</v>
      </c>
      <c r="P4" s="109"/>
      <c r="Q4" s="109"/>
      <c r="R4" s="109"/>
      <c r="S4" s="109"/>
    </row>
    <row r="5" spans="1:19" ht="16" x14ac:dyDescent="0.2">
      <c r="A5" s="28" t="s">
        <v>58</v>
      </c>
      <c r="B5" s="29" t="s">
        <v>46</v>
      </c>
      <c r="C5" s="29" t="s">
        <v>59</v>
      </c>
      <c r="D5" s="30"/>
      <c r="E5" s="28" t="s">
        <v>58</v>
      </c>
      <c r="F5" s="29" t="s">
        <v>37</v>
      </c>
      <c r="G5" s="29" t="s">
        <v>59</v>
      </c>
      <c r="H5" s="29" t="s">
        <v>36</v>
      </c>
      <c r="I5" s="29" t="s">
        <v>59</v>
      </c>
      <c r="K5" s="28" t="s">
        <v>58</v>
      </c>
      <c r="L5" s="29" t="s">
        <v>46</v>
      </c>
      <c r="M5" s="29" t="s">
        <v>59</v>
      </c>
      <c r="N5" s="30"/>
      <c r="O5" s="28" t="s">
        <v>58</v>
      </c>
      <c r="P5" s="29" t="s">
        <v>37</v>
      </c>
      <c r="Q5" s="29" t="s">
        <v>59</v>
      </c>
      <c r="R5" s="29" t="s">
        <v>36</v>
      </c>
      <c r="S5" s="29" t="s">
        <v>59</v>
      </c>
    </row>
    <row r="6" spans="1:19" ht="16" x14ac:dyDescent="0.2">
      <c r="A6" s="28" t="s">
        <v>40</v>
      </c>
      <c r="B6" s="95">
        <v>805860</v>
      </c>
      <c r="C6" s="31">
        <v>0.30909999999999999</v>
      </c>
      <c r="D6" s="30"/>
      <c r="E6" s="28" t="s">
        <v>40</v>
      </c>
      <c r="F6" s="95">
        <v>370730</v>
      </c>
      <c r="G6" s="31">
        <v>0.2903</v>
      </c>
      <c r="H6" s="95">
        <v>435140</v>
      </c>
      <c r="I6" s="31">
        <v>0.32719999999999999</v>
      </c>
      <c r="K6" s="28" t="s">
        <v>40</v>
      </c>
      <c r="L6" s="95">
        <v>644555</v>
      </c>
      <c r="M6" s="31">
        <f>L6/L$14</f>
        <v>0.28261341389357192</v>
      </c>
      <c r="N6" s="30"/>
      <c r="O6" s="28" t="s">
        <v>40</v>
      </c>
      <c r="P6" s="95">
        <v>299905</v>
      </c>
      <c r="Q6" s="31">
        <f>P6/P$14</f>
        <v>0.2685299595286702</v>
      </c>
      <c r="R6" s="95">
        <v>344655</v>
      </c>
      <c r="S6" s="31">
        <f>R6/R$14</f>
        <v>0.29612970576484388</v>
      </c>
    </row>
    <row r="7" spans="1:19" ht="16" x14ac:dyDescent="0.2">
      <c r="A7" s="28" t="s">
        <v>41</v>
      </c>
      <c r="B7" s="95">
        <v>41180</v>
      </c>
      <c r="C7" s="31">
        <v>1.5800000000000002E-2</v>
      </c>
      <c r="D7" s="30"/>
      <c r="E7" s="28" t="s">
        <v>41</v>
      </c>
      <c r="F7" s="95">
        <v>21580</v>
      </c>
      <c r="G7" s="31">
        <v>1.6899999999999998E-2</v>
      </c>
      <c r="H7" s="95">
        <v>19605</v>
      </c>
      <c r="I7" s="31">
        <v>1.47E-2</v>
      </c>
      <c r="K7" s="28" t="s">
        <v>41</v>
      </c>
      <c r="L7" s="95">
        <v>23545</v>
      </c>
      <c r="M7" s="31">
        <f t="shared" ref="M7:M13" si="0">L7/L$14</f>
        <v>1.0323607496837587E-2</v>
      </c>
      <c r="N7" s="30"/>
      <c r="O7" s="28" t="s">
        <v>41</v>
      </c>
      <c r="P7" s="95">
        <v>12245</v>
      </c>
      <c r="Q7" s="31">
        <f t="shared" ref="Q7:Q13" si="1">P7/P$14</f>
        <v>1.0963969771856309E-2</v>
      </c>
      <c r="R7" s="95">
        <v>11300</v>
      </c>
      <c r="S7" s="31">
        <f t="shared" ref="S7:S13" si="2">R7/R$14</f>
        <v>9.7090298273425184E-3</v>
      </c>
    </row>
    <row r="8" spans="1:19" ht="16" x14ac:dyDescent="0.2">
      <c r="A8" s="28" t="s">
        <v>45</v>
      </c>
      <c r="B8" s="95">
        <v>1123395</v>
      </c>
      <c r="C8" s="31">
        <v>0.43090000000000001</v>
      </c>
      <c r="D8" s="30"/>
      <c r="E8" s="28" t="s">
        <v>45</v>
      </c>
      <c r="F8" s="95">
        <v>565830</v>
      </c>
      <c r="G8" s="31">
        <v>0.443</v>
      </c>
      <c r="H8" s="95">
        <v>557565</v>
      </c>
      <c r="I8" s="31">
        <v>0.41930000000000001</v>
      </c>
      <c r="K8" s="28" t="s">
        <v>45</v>
      </c>
      <c r="L8" s="95">
        <v>1185415</v>
      </c>
      <c r="M8" s="31">
        <f t="shared" si="0"/>
        <v>0.51976042390587085</v>
      </c>
      <c r="N8" s="30"/>
      <c r="O8" s="28" t="s">
        <v>45</v>
      </c>
      <c r="P8" s="95">
        <v>592780</v>
      </c>
      <c r="Q8" s="31">
        <f t="shared" si="1"/>
        <v>0.53076537373303245</v>
      </c>
      <c r="R8" s="95">
        <v>592640</v>
      </c>
      <c r="S8" s="31">
        <f t="shared" si="2"/>
        <v>0.50919995016604158</v>
      </c>
    </row>
    <row r="9" spans="1:19" ht="16" x14ac:dyDescent="0.2">
      <c r="A9" s="28" t="s">
        <v>42</v>
      </c>
      <c r="B9" s="95">
        <v>51500</v>
      </c>
      <c r="C9" s="31">
        <v>1.9800000000000002E-2</v>
      </c>
      <c r="D9" s="30"/>
      <c r="E9" s="28" t="s">
        <v>42</v>
      </c>
      <c r="F9" s="95">
        <v>25375</v>
      </c>
      <c r="G9" s="31">
        <v>1.9900000000000001E-2</v>
      </c>
      <c r="H9" s="95">
        <v>26125</v>
      </c>
      <c r="I9" s="31">
        <v>1.9599999999999999E-2</v>
      </c>
      <c r="K9" s="28" t="s">
        <v>42</v>
      </c>
      <c r="L9" s="95">
        <v>29125</v>
      </c>
      <c r="M9" s="31">
        <f t="shared" si="0"/>
        <v>1.2770230127219992E-2</v>
      </c>
      <c r="N9" s="30"/>
      <c r="O9" s="28" t="s">
        <v>42</v>
      </c>
      <c r="P9" s="95">
        <v>14085</v>
      </c>
      <c r="Q9" s="31">
        <f t="shared" si="1"/>
        <v>1.2611475233695069E-2</v>
      </c>
      <c r="R9" s="95">
        <v>15040</v>
      </c>
      <c r="S9" s="31">
        <f t="shared" si="2"/>
        <v>1.2922460938339068E-2</v>
      </c>
    </row>
    <row r="10" spans="1:19" ht="16" x14ac:dyDescent="0.2">
      <c r="A10" s="28" t="s">
        <v>39</v>
      </c>
      <c r="B10" s="95">
        <v>63345</v>
      </c>
      <c r="C10" s="31">
        <v>2.4299999999999999E-2</v>
      </c>
      <c r="D10" s="30"/>
      <c r="E10" s="28" t="s">
        <v>39</v>
      </c>
      <c r="F10" s="95">
        <v>30695</v>
      </c>
      <c r="G10" s="31">
        <v>2.4E-2</v>
      </c>
      <c r="H10" s="95">
        <v>32650</v>
      </c>
      <c r="I10" s="31">
        <v>2.46E-2</v>
      </c>
      <c r="K10" s="28" t="s">
        <v>39</v>
      </c>
      <c r="L10" s="95">
        <v>64945</v>
      </c>
      <c r="M10" s="31">
        <f t="shared" si="0"/>
        <v>2.8475968948061883E-2</v>
      </c>
      <c r="N10" s="30"/>
      <c r="O10" s="28" t="s">
        <v>39</v>
      </c>
      <c r="P10" s="95">
        <v>30355</v>
      </c>
      <c r="Q10" s="31">
        <f t="shared" si="1"/>
        <v>2.7179363203323662E-2</v>
      </c>
      <c r="R10" s="95">
        <v>34590</v>
      </c>
      <c r="S10" s="31">
        <f t="shared" si="2"/>
        <v>2.9719941745821037E-2</v>
      </c>
    </row>
    <row r="11" spans="1:19" ht="16" x14ac:dyDescent="0.2">
      <c r="A11" s="28" t="s">
        <v>43</v>
      </c>
      <c r="B11" s="95">
        <v>87080</v>
      </c>
      <c r="C11" s="31">
        <v>3.3399999999999999E-2</v>
      </c>
      <c r="D11" s="30"/>
      <c r="E11" s="28" t="s">
        <v>43</v>
      </c>
      <c r="F11" s="95">
        <v>44320</v>
      </c>
      <c r="G11" s="31">
        <v>3.4700000000000002E-2</v>
      </c>
      <c r="H11" s="95">
        <v>42760</v>
      </c>
      <c r="I11" s="31">
        <v>3.2199999999999999E-2</v>
      </c>
      <c r="K11" s="28" t="s">
        <v>43</v>
      </c>
      <c r="L11" s="95">
        <v>48870</v>
      </c>
      <c r="M11" s="31">
        <f t="shared" si="0"/>
        <v>2.142767884351042E-2</v>
      </c>
      <c r="N11" s="30"/>
      <c r="O11" s="28" t="s">
        <v>43</v>
      </c>
      <c r="P11" s="95">
        <v>25270</v>
      </c>
      <c r="Q11" s="31">
        <f t="shared" si="1"/>
        <v>2.2626338598187745E-2</v>
      </c>
      <c r="R11" s="95">
        <v>23600</v>
      </c>
      <c r="S11" s="31">
        <f t="shared" si="2"/>
        <v>2.0277265834095878E-2</v>
      </c>
    </row>
    <row r="12" spans="1:19" ht="16" x14ac:dyDescent="0.2">
      <c r="A12" s="28" t="s">
        <v>7</v>
      </c>
      <c r="B12" s="95">
        <v>65350</v>
      </c>
      <c r="C12" s="31">
        <v>2.5100000000000001E-2</v>
      </c>
      <c r="D12" s="30"/>
      <c r="E12" s="28" t="s">
        <v>7</v>
      </c>
      <c r="F12" s="95">
        <v>31815</v>
      </c>
      <c r="G12" s="31">
        <v>2.4899999999999999E-2</v>
      </c>
      <c r="H12" s="95">
        <v>33540</v>
      </c>
      <c r="I12" s="31">
        <v>2.52E-2</v>
      </c>
      <c r="K12" s="28" t="s">
        <v>7</v>
      </c>
      <c r="L12" s="95">
        <v>31835</v>
      </c>
      <c r="M12" s="31">
        <f t="shared" si="0"/>
        <v>1.3958464415452307E-2</v>
      </c>
      <c r="N12" s="30"/>
      <c r="O12" s="28" t="s">
        <v>7</v>
      </c>
      <c r="P12" s="95">
        <v>15505</v>
      </c>
      <c r="Q12" s="31">
        <f t="shared" si="1"/>
        <v>1.3882919666201067E-2</v>
      </c>
      <c r="R12" s="95">
        <v>16335</v>
      </c>
      <c r="S12" s="31">
        <f t="shared" si="2"/>
        <v>1.4035132940676109E-2</v>
      </c>
    </row>
    <row r="13" spans="1:19" ht="16" x14ac:dyDescent="0.2">
      <c r="A13" s="28" t="s">
        <v>44</v>
      </c>
      <c r="B13" s="95">
        <v>369290</v>
      </c>
      <c r="C13" s="31">
        <v>0.14169999999999999</v>
      </c>
      <c r="D13" s="30"/>
      <c r="E13" s="28" t="s">
        <v>44</v>
      </c>
      <c r="F13" s="95">
        <v>186890</v>
      </c>
      <c r="G13" s="31">
        <v>0.14630000000000001</v>
      </c>
      <c r="H13" s="95">
        <v>182400</v>
      </c>
      <c r="I13" s="31">
        <v>0.13719999999999999</v>
      </c>
      <c r="K13" s="28" t="s">
        <v>44</v>
      </c>
      <c r="L13" s="95">
        <v>252405</v>
      </c>
      <c r="M13" s="31">
        <f t="shared" si="0"/>
        <v>0.11067021236947509</v>
      </c>
      <c r="N13" s="30"/>
      <c r="O13" s="28" t="s">
        <v>44</v>
      </c>
      <c r="P13" s="95">
        <v>126695</v>
      </c>
      <c r="Q13" s="31">
        <f t="shared" si="1"/>
        <v>0.11344060026503348</v>
      </c>
      <c r="R13" s="95">
        <v>125705</v>
      </c>
      <c r="S13" s="31">
        <f t="shared" si="2"/>
        <v>0.10800651278283993</v>
      </c>
    </row>
    <row r="14" spans="1:19" ht="16" x14ac:dyDescent="0.2">
      <c r="A14" s="28"/>
      <c r="B14" s="95">
        <v>2607000</v>
      </c>
      <c r="C14" s="32"/>
      <c r="D14" s="28"/>
      <c r="E14" s="29"/>
      <c r="F14" s="95">
        <v>1277235</v>
      </c>
      <c r="G14" s="32"/>
      <c r="H14" s="95">
        <v>1329785</v>
      </c>
      <c r="I14" s="32"/>
      <c r="K14" s="28"/>
      <c r="L14" s="95">
        <f>SUM(L6:L13)</f>
        <v>2280695</v>
      </c>
      <c r="M14" s="31"/>
      <c r="N14" s="28"/>
      <c r="O14" s="29"/>
      <c r="P14" s="95">
        <f>SUM(P6:P13)</f>
        <v>1116840</v>
      </c>
      <c r="Q14" s="31"/>
      <c r="R14" s="95">
        <f>SUM(R6:R13)</f>
        <v>1163865</v>
      </c>
      <c r="S14" s="31"/>
    </row>
    <row r="15" spans="1:19" ht="16" x14ac:dyDescent="0.2">
      <c r="A15" s="28"/>
      <c r="B15" s="29"/>
      <c r="C15" s="32"/>
      <c r="D15" s="28"/>
      <c r="E15" s="29"/>
      <c r="F15" s="32"/>
      <c r="G15" s="28"/>
      <c r="H15" s="29"/>
      <c r="I15" s="31"/>
      <c r="K15" s="28"/>
      <c r="L15" s="29"/>
      <c r="M15" s="32"/>
      <c r="N15" s="28"/>
      <c r="O15" s="29"/>
      <c r="P15" s="32"/>
      <c r="Q15" s="28"/>
      <c r="R15" s="29"/>
      <c r="S15" s="31"/>
    </row>
    <row r="16" spans="1:19" ht="16" x14ac:dyDescent="0.2">
      <c r="A16" s="109" t="s">
        <v>55</v>
      </c>
      <c r="B16" s="109"/>
      <c r="C16" s="109"/>
      <c r="D16" s="109"/>
      <c r="E16" s="109"/>
      <c r="F16" s="109"/>
      <c r="G16" s="109"/>
      <c r="H16" s="109"/>
      <c r="I16" s="109"/>
      <c r="K16" s="109" t="s">
        <v>62</v>
      </c>
      <c r="L16" s="109"/>
      <c r="M16" s="109"/>
      <c r="N16" s="109"/>
      <c r="O16" s="109"/>
      <c r="P16" s="109"/>
      <c r="Q16" s="109"/>
      <c r="R16" s="109"/>
      <c r="S16" s="109"/>
    </row>
    <row r="17" spans="1:19" ht="16" x14ac:dyDescent="0.2">
      <c r="A17" s="109" t="s">
        <v>56</v>
      </c>
      <c r="B17" s="109"/>
      <c r="C17" s="109"/>
      <c r="D17" s="27"/>
      <c r="E17" s="109" t="s">
        <v>57</v>
      </c>
      <c r="F17" s="109"/>
      <c r="G17" s="109"/>
      <c r="H17" s="109"/>
      <c r="I17" s="109"/>
      <c r="K17" s="109" t="s">
        <v>56</v>
      </c>
      <c r="L17" s="109"/>
      <c r="M17" s="109"/>
      <c r="N17" s="27"/>
      <c r="O17" s="109" t="s">
        <v>57</v>
      </c>
      <c r="P17" s="109"/>
      <c r="Q17" s="109"/>
      <c r="R17" s="109"/>
      <c r="S17" s="109"/>
    </row>
    <row r="18" spans="1:19" ht="16" x14ac:dyDescent="0.2">
      <c r="A18" s="28" t="s">
        <v>58</v>
      </c>
      <c r="B18" s="29" t="s">
        <v>46</v>
      </c>
      <c r="C18" s="29" t="s">
        <v>59</v>
      </c>
      <c r="D18" s="30"/>
      <c r="E18" s="28" t="s">
        <v>58</v>
      </c>
      <c r="F18" s="29" t="s">
        <v>37</v>
      </c>
      <c r="G18" s="29" t="s">
        <v>59</v>
      </c>
      <c r="H18" s="29" t="s">
        <v>36</v>
      </c>
      <c r="I18" s="29" t="s">
        <v>59</v>
      </c>
      <c r="K18" s="28" t="s">
        <v>58</v>
      </c>
      <c r="L18" s="29" t="s">
        <v>46</v>
      </c>
      <c r="M18" s="29" t="s">
        <v>59</v>
      </c>
      <c r="N18" s="30"/>
      <c r="O18" s="28" t="s">
        <v>58</v>
      </c>
      <c r="P18" s="29" t="s">
        <v>37</v>
      </c>
      <c r="Q18" s="29" t="s">
        <v>59</v>
      </c>
      <c r="R18" s="29" t="s">
        <v>36</v>
      </c>
      <c r="S18" s="29" t="s">
        <v>59</v>
      </c>
    </row>
    <row r="19" spans="1:19" ht="16" x14ac:dyDescent="0.2">
      <c r="A19" s="28" t="s">
        <v>40</v>
      </c>
      <c r="B19" s="95">
        <v>725820</v>
      </c>
      <c r="C19" s="31">
        <v>0.29920000000000002</v>
      </c>
      <c r="D19" s="30"/>
      <c r="E19" s="28" t="s">
        <v>40</v>
      </c>
      <c r="F19" s="95">
        <v>334690</v>
      </c>
      <c r="G19" s="31">
        <v>0.2823</v>
      </c>
      <c r="H19" s="95">
        <v>391135</v>
      </c>
      <c r="I19" s="31">
        <v>0.31519999999999998</v>
      </c>
      <c r="K19" s="28" t="s">
        <v>40</v>
      </c>
      <c r="L19" s="95">
        <v>564155</v>
      </c>
      <c r="M19" s="31">
        <f>L19/L$27</f>
        <v>0.26890453890060656</v>
      </c>
      <c r="N19" s="30"/>
      <c r="O19" s="28" t="s">
        <v>40</v>
      </c>
      <c r="P19" s="95">
        <v>264825</v>
      </c>
      <c r="Q19" s="31">
        <f>P19/P$27</f>
        <v>0.25835829195243065</v>
      </c>
      <c r="R19" s="95">
        <v>299315</v>
      </c>
      <c r="S19" s="31">
        <f>R19/R$27</f>
        <v>0.27896973707511208</v>
      </c>
    </row>
    <row r="20" spans="1:19" ht="16" x14ac:dyDescent="0.2">
      <c r="A20" s="28" t="s">
        <v>41</v>
      </c>
      <c r="B20" s="95">
        <v>29830</v>
      </c>
      <c r="C20" s="31">
        <v>1.23E-2</v>
      </c>
      <c r="D20" s="30"/>
      <c r="E20" s="28" t="s">
        <v>41</v>
      </c>
      <c r="F20" s="95">
        <v>15465</v>
      </c>
      <c r="G20" s="31">
        <v>1.2999999999999999E-2</v>
      </c>
      <c r="H20" s="95">
        <v>14370</v>
      </c>
      <c r="I20" s="31">
        <v>1.1599999999999999E-2</v>
      </c>
      <c r="K20" s="28" t="s">
        <v>41</v>
      </c>
      <c r="L20" s="95">
        <v>20670</v>
      </c>
      <c r="M20" s="31">
        <f>L20/L$27</f>
        <v>9.8523576305723382E-3</v>
      </c>
      <c r="N20" s="30"/>
      <c r="O20" s="28" t="s">
        <v>41</v>
      </c>
      <c r="P20" s="95">
        <v>11080</v>
      </c>
      <c r="Q20" s="31">
        <f>P20/P$27</f>
        <v>1.0809439723715404E-2</v>
      </c>
      <c r="R20" s="95">
        <v>9595</v>
      </c>
      <c r="S20" s="31">
        <f>R20/R$27</f>
        <v>8.9428014875154952E-3</v>
      </c>
    </row>
    <row r="21" spans="1:19" ht="16" x14ac:dyDescent="0.2">
      <c r="A21" s="28" t="s">
        <v>45</v>
      </c>
      <c r="B21" s="95">
        <v>1179100</v>
      </c>
      <c r="C21" s="31">
        <v>0.48599999999999999</v>
      </c>
      <c r="D21" s="30"/>
      <c r="E21" s="28" t="s">
        <v>45</v>
      </c>
      <c r="F21" s="95">
        <v>591310</v>
      </c>
      <c r="G21" s="31">
        <v>0.49880000000000002</v>
      </c>
      <c r="H21" s="95">
        <v>587795</v>
      </c>
      <c r="I21" s="31">
        <v>0.47370000000000001</v>
      </c>
      <c r="K21" s="28" t="s">
        <v>45</v>
      </c>
      <c r="L21" s="95">
        <v>1182355</v>
      </c>
      <c r="M21" s="31">
        <f>L21/L$27</f>
        <v>0.56356963262193305</v>
      </c>
      <c r="N21" s="30"/>
      <c r="O21" s="28" t="s">
        <v>45</v>
      </c>
      <c r="P21" s="95">
        <v>586520</v>
      </c>
      <c r="Q21" s="31">
        <f>P21/P$27</f>
        <v>0.57219788689111539</v>
      </c>
      <c r="R21" s="95">
        <v>595830</v>
      </c>
      <c r="S21" s="31">
        <f>R21/R$27</f>
        <v>0.55532979784328895</v>
      </c>
    </row>
    <row r="22" spans="1:19" ht="16" x14ac:dyDescent="0.2">
      <c r="A22" s="28" t="s">
        <v>42</v>
      </c>
      <c r="B22" s="95">
        <v>34805</v>
      </c>
      <c r="C22" s="31">
        <v>1.43E-2</v>
      </c>
      <c r="D22" s="30"/>
      <c r="E22" s="28" t="s">
        <v>42</v>
      </c>
      <c r="F22" s="95">
        <v>16490</v>
      </c>
      <c r="G22" s="31">
        <v>1.3899999999999999E-2</v>
      </c>
      <c r="H22" s="95">
        <v>18315</v>
      </c>
      <c r="I22" s="31">
        <v>1.4800000000000001E-2</v>
      </c>
      <c r="K22" s="28" t="s">
        <v>42</v>
      </c>
      <c r="L22" s="95">
        <v>22695</v>
      </c>
      <c r="M22" s="31">
        <f>L22/L$27</f>
        <v>1.0817574089300397E-2</v>
      </c>
      <c r="N22" s="30"/>
      <c r="O22" s="28" t="s">
        <v>42</v>
      </c>
      <c r="P22" s="95">
        <v>10670</v>
      </c>
      <c r="Q22" s="31">
        <f>P22/P$27</f>
        <v>1.0409451430689833E-2</v>
      </c>
      <c r="R22" s="95">
        <v>12025</v>
      </c>
      <c r="S22" s="31">
        <f>R22/R$27</f>
        <v>1.1207627711034271E-2</v>
      </c>
    </row>
    <row r="23" spans="1:19" ht="16" x14ac:dyDescent="0.2">
      <c r="A23" s="28" t="s">
        <v>39</v>
      </c>
      <c r="B23" s="95">
        <v>61455</v>
      </c>
      <c r="C23" s="31">
        <v>2.53E-2</v>
      </c>
      <c r="D23" s="30"/>
      <c r="E23" s="28" t="s">
        <v>39</v>
      </c>
      <c r="F23" s="95">
        <v>29075</v>
      </c>
      <c r="G23" s="31">
        <v>2.4500000000000001E-2</v>
      </c>
      <c r="H23" s="95">
        <v>32380</v>
      </c>
      <c r="I23" s="31">
        <v>2.6100000000000002E-2</v>
      </c>
      <c r="K23" s="28" t="s">
        <v>39</v>
      </c>
      <c r="L23" s="95">
        <v>40310</v>
      </c>
      <c r="M23" s="31">
        <f>L23/L$27</f>
        <v>1.9213765654976823E-2</v>
      </c>
      <c r="N23" s="30"/>
      <c r="O23" s="28" t="s">
        <v>39</v>
      </c>
      <c r="P23" s="95">
        <v>19025</v>
      </c>
      <c r="Q23" s="31">
        <f>P23/P$27</f>
        <v>1.8560432377588948E-2</v>
      </c>
      <c r="R23" s="95">
        <v>21290</v>
      </c>
      <c r="S23" s="31">
        <f>R23/R$27</f>
        <v>1.9842860205232401E-2</v>
      </c>
    </row>
    <row r="24" spans="1:19" ht="16" x14ac:dyDescent="0.2">
      <c r="A24" s="28" t="s">
        <v>43</v>
      </c>
      <c r="B24" s="95">
        <v>62440</v>
      </c>
      <c r="C24" s="31">
        <v>2.5700000000000001E-2</v>
      </c>
      <c r="D24" s="30"/>
      <c r="E24" s="28" t="s">
        <v>43</v>
      </c>
      <c r="F24" s="95">
        <v>32260</v>
      </c>
      <c r="G24" s="31">
        <v>2.7199999999999998E-2</v>
      </c>
      <c r="H24" s="95">
        <v>30190</v>
      </c>
      <c r="I24" s="31">
        <v>2.4299999999999999E-2</v>
      </c>
      <c r="K24" s="28" t="s">
        <v>43</v>
      </c>
      <c r="L24" s="95">
        <v>35590</v>
      </c>
      <c r="M24" s="31">
        <f>L24/L$27</f>
        <v>1.6963977168460063E-2</v>
      </c>
      <c r="N24" s="30"/>
      <c r="O24" s="28" t="s">
        <v>43</v>
      </c>
      <c r="P24" s="95">
        <v>18500</v>
      </c>
      <c r="Q24" s="31">
        <f>P24/P$27</f>
        <v>1.8048252246275719E-2</v>
      </c>
      <c r="R24" s="95">
        <v>17085</v>
      </c>
      <c r="S24" s="31">
        <f>R24/R$27</f>
        <v>1.5923685608567193E-2</v>
      </c>
    </row>
    <row r="25" spans="1:19" ht="16" x14ac:dyDescent="0.2">
      <c r="A25" s="28" t="s">
        <v>7</v>
      </c>
      <c r="B25" s="95">
        <v>41780</v>
      </c>
      <c r="C25" s="31">
        <v>1.72E-2</v>
      </c>
      <c r="D25" s="30"/>
      <c r="E25" s="28" t="s">
        <v>7</v>
      </c>
      <c r="F25" s="95">
        <v>20585</v>
      </c>
      <c r="G25" s="31">
        <v>1.7399999999999999E-2</v>
      </c>
      <c r="H25" s="95">
        <v>21200</v>
      </c>
      <c r="I25" s="31">
        <v>1.7100000000000001E-2</v>
      </c>
      <c r="K25" s="28" t="s">
        <v>7</v>
      </c>
      <c r="L25" s="95">
        <v>25035</v>
      </c>
      <c r="M25" s="31">
        <f>L25/L$27</f>
        <v>1.1932935330497265E-2</v>
      </c>
      <c r="N25" s="30"/>
      <c r="O25" s="28" t="s">
        <v>7</v>
      </c>
      <c r="P25" s="95">
        <v>12120</v>
      </c>
      <c r="Q25" s="31">
        <f>P25/P$27</f>
        <v>1.182404417431685E-2</v>
      </c>
      <c r="R25" s="95">
        <v>12915</v>
      </c>
      <c r="S25" s="31">
        <f>R25/R$27</f>
        <v>1.2037131965738678E-2</v>
      </c>
    </row>
    <row r="26" spans="1:19" ht="16" x14ac:dyDescent="0.2">
      <c r="A26" s="28" t="s">
        <v>44</v>
      </c>
      <c r="B26" s="95">
        <v>291005</v>
      </c>
      <c r="C26" s="31">
        <v>0.11990000000000001</v>
      </c>
      <c r="D26" s="30"/>
      <c r="E26" s="28" t="s">
        <v>44</v>
      </c>
      <c r="F26" s="95">
        <v>145545</v>
      </c>
      <c r="G26" s="31">
        <v>0.12280000000000001</v>
      </c>
      <c r="H26" s="95">
        <v>145460</v>
      </c>
      <c r="I26" s="31">
        <v>0.1172</v>
      </c>
      <c r="K26" s="28" t="s">
        <v>44</v>
      </c>
      <c r="L26" s="95">
        <v>207165</v>
      </c>
      <c r="M26" s="31">
        <f>L26/L$27</f>
        <v>9.8745218603653526E-2</v>
      </c>
      <c r="N26" s="30"/>
      <c r="O26" s="28" t="s">
        <v>44</v>
      </c>
      <c r="P26" s="95">
        <v>102290</v>
      </c>
      <c r="Q26" s="31">
        <f>P26/P$27</f>
        <v>9.9792201203867198E-2</v>
      </c>
      <c r="R26" s="95">
        <v>104875</v>
      </c>
      <c r="S26" s="31">
        <f>R26/R$27</f>
        <v>9.7746358103510941E-2</v>
      </c>
    </row>
    <row r="27" spans="1:19" ht="16" x14ac:dyDescent="0.2">
      <c r="A27" s="28"/>
      <c r="B27" s="95">
        <v>2426235</v>
      </c>
      <c r="C27" s="32"/>
      <c r="D27" s="28"/>
      <c r="E27" s="29"/>
      <c r="F27" s="95">
        <v>1185420</v>
      </c>
      <c r="G27" s="32"/>
      <c r="H27" s="95">
        <v>1240845</v>
      </c>
      <c r="I27" s="32"/>
      <c r="K27" s="28"/>
      <c r="L27" s="95">
        <f>SUM(L19:L26)</f>
        <v>2097975</v>
      </c>
      <c r="M27" s="31"/>
      <c r="N27" s="28"/>
      <c r="O27" s="29"/>
      <c r="P27" s="95">
        <f>SUM(P19:P26)</f>
        <v>1025030</v>
      </c>
      <c r="Q27" s="31"/>
      <c r="R27" s="95">
        <f>SUM(R19:R26)</f>
        <v>1072930</v>
      </c>
      <c r="S27" s="31"/>
    </row>
    <row r="28" spans="1:19" ht="16" x14ac:dyDescent="0.2">
      <c r="A28" s="28"/>
      <c r="B28" s="29"/>
      <c r="C28" s="32"/>
      <c r="D28" s="28"/>
      <c r="E28" s="29"/>
      <c r="F28" s="32"/>
      <c r="G28" s="28"/>
      <c r="H28" s="29"/>
      <c r="I28" s="31"/>
    </row>
    <row r="29" spans="1:19" ht="17" customHeight="1" x14ac:dyDescent="0.15"/>
    <row r="30" spans="1:19" ht="16" x14ac:dyDescent="0.15">
      <c r="A30" s="108" t="s">
        <v>64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</sheetData>
  <mergeCells count="14">
    <mergeCell ref="O17:S17"/>
    <mergeCell ref="A1:S2"/>
    <mergeCell ref="A30:S30"/>
    <mergeCell ref="A3:I3"/>
    <mergeCell ref="A4:C4"/>
    <mergeCell ref="E4:I4"/>
    <mergeCell ref="A16:I16"/>
    <mergeCell ref="A17:C17"/>
    <mergeCell ref="E17:I17"/>
    <mergeCell ref="K3:S3"/>
    <mergeCell ref="K4:M4"/>
    <mergeCell ref="O4:S4"/>
    <mergeCell ref="K16:S16"/>
    <mergeCell ref="K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Complete Data Set</vt:lpstr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Harrison</cp:lastModifiedBy>
  <dcterms:created xsi:type="dcterms:W3CDTF">2023-02-16T03:38:56Z</dcterms:created>
  <dcterms:modified xsi:type="dcterms:W3CDTF">2023-02-25T22:43:24Z</dcterms:modified>
</cp:coreProperties>
</file>